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updateLinks="never" codeName="ThisWorkbook" defaultThemeVersion="124226"/>
  <mc:AlternateContent xmlns:mc="http://schemas.openxmlformats.org/markup-compatibility/2006">
    <mc:Choice Requires="x15">
      <x15ac:absPath xmlns:x15ac="http://schemas.microsoft.com/office/spreadsheetml/2010/11/ac" url="https://stichtingmenzisbeheer-my.sharepoint.com/personal/haarhuis_m_menzis_nl/Documents/Mijn Documenten/Kennismanagement/Voorschrift zorgtoewijzing/2019/"/>
    </mc:Choice>
  </mc:AlternateContent>
  <xr:revisionPtr revIDLastSave="0" documentId="8_{A6DABF86-C87C-4DC5-8D89-0D66BAA5CD71}" xr6:coauthVersionLast="31" xr6:coauthVersionMax="31" xr10:uidLastSave="{00000000-0000-0000-0000-000000000000}"/>
  <bookViews>
    <workbookView xWindow="0" yWindow="0" windowWidth="19200" windowHeight="8565" tabRatio="934" activeTab="1" xr2:uid="{00000000-000D-0000-FFFF-FFFF00000000}"/>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Ruimte behandeling basis MPT" sheetId="39" r:id="rId29"/>
    <sheet name="Pct verd. VBL dagbesteding" sheetId="37" r:id="rId30"/>
    <sheet name="Pct verd. VPT dagbesteding" sheetId="38" r:id="rId31"/>
  </sheets>
  <externalReferences>
    <externalReference r:id="rId32"/>
    <externalReference r:id="rId33"/>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ijst4">Rekenblad!$DH$15:$DH$16</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Rekenblad!$EO$12:$EO$29</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79017"/>
</workbook>
</file>

<file path=xl/calcChain.xml><?xml version="1.0" encoding="utf-8"?>
<calcChain xmlns="http://schemas.openxmlformats.org/spreadsheetml/2006/main">
  <c r="X23" i="10" l="1"/>
  <c r="AZ232" i="10"/>
  <c r="AZ233" i="10"/>
  <c r="AZ234" i="10"/>
  <c r="AZ235" i="10"/>
  <c r="AZ236" i="10"/>
  <c r="AZ237" i="10"/>
  <c r="AZ238" i="10"/>
  <c r="AZ239" i="10"/>
  <c r="AZ240" i="10"/>
  <c r="AZ241" i="10"/>
  <c r="AZ242" i="10"/>
  <c r="AZ243" i="10"/>
  <c r="AZ244" i="10"/>
  <c r="AZ245" i="10"/>
  <c r="AZ246" i="10"/>
  <c r="AZ247" i="10"/>
  <c r="AZ248" i="10"/>
  <c r="AZ249" i="10"/>
  <c r="AZ250" i="10"/>
  <c r="AZ251" i="10"/>
  <c r="AZ252" i="10"/>
  <c r="AZ253" i="10"/>
  <c r="AZ254" i="10"/>
  <c r="AZ255" i="10"/>
  <c r="AZ256" i="10"/>
  <c r="AZ257" i="10"/>
  <c r="AZ258" i="10"/>
  <c r="AZ259" i="10"/>
  <c r="AZ260" i="10"/>
  <c r="AZ261" i="10"/>
  <c r="AZ262" i="10"/>
  <c r="AZ263" i="10"/>
  <c r="AZ264" i="10"/>
  <c r="AZ265" i="10"/>
  <c r="AZ266" i="10"/>
  <c r="AZ267" i="10"/>
  <c r="AZ268" i="10"/>
  <c r="AZ269" i="10"/>
  <c r="AZ270" i="10"/>
  <c r="AZ271" i="10"/>
  <c r="AZ272" i="10"/>
  <c r="AZ273" i="10"/>
  <c r="AZ274" i="10"/>
  <c r="AZ275" i="10"/>
  <c r="AZ276" i="10"/>
  <c r="AZ277" i="10"/>
  <c r="AZ278" i="10"/>
  <c r="AZ279" i="10"/>
  <c r="AZ280" i="10"/>
  <c r="AZ281" i="10"/>
  <c r="AZ282" i="10"/>
  <c r="AZ283" i="10"/>
  <c r="AZ284" i="10"/>
  <c r="AZ285" i="10"/>
  <c r="AZ286" i="10"/>
  <c r="AZ287" i="10"/>
  <c r="AZ288" i="10"/>
  <c r="AZ289" i="10"/>
  <c r="AZ290" i="10"/>
  <c r="AZ291" i="10"/>
  <c r="AZ292" i="10"/>
  <c r="AZ293" i="10"/>
  <c r="AZ294" i="10"/>
  <c r="AZ295" i="10"/>
  <c r="AZ296" i="10"/>
  <c r="AZ297" i="10"/>
  <c r="AZ298" i="10"/>
  <c r="AZ299" i="10"/>
  <c r="AZ300" i="10"/>
  <c r="AZ301" i="10"/>
  <c r="AZ302" i="10"/>
  <c r="AZ303" i="10"/>
  <c r="AZ304" i="10"/>
  <c r="AZ305" i="10"/>
  <c r="AZ306" i="10"/>
  <c r="AZ307" i="10"/>
  <c r="AZ308" i="10"/>
  <c r="AZ309" i="10"/>
  <c r="AZ310" i="10"/>
  <c r="AZ311" i="10"/>
  <c r="AZ312" i="10"/>
  <c r="AZ313" i="10"/>
  <c r="AZ314" i="10"/>
  <c r="AZ315" i="10"/>
  <c r="AZ316" i="10"/>
  <c r="AZ317" i="10"/>
  <c r="AZ318" i="10"/>
  <c r="AZ319" i="10"/>
  <c r="AZ320" i="10"/>
  <c r="AZ321" i="10"/>
  <c r="AZ322" i="10"/>
  <c r="AZ323" i="10"/>
  <c r="AZ324" i="10"/>
  <c r="AZ325" i="10"/>
  <c r="AZ326" i="10"/>
  <c r="AZ327" i="10"/>
  <c r="AZ328" i="10"/>
  <c r="AZ329" i="10"/>
  <c r="AZ330" i="10"/>
  <c r="AZ331" i="10"/>
  <c r="AZ332" i="10"/>
  <c r="AZ333" i="10"/>
  <c r="AZ334" i="10"/>
  <c r="AZ335" i="10"/>
  <c r="AZ336" i="10"/>
  <c r="AZ337" i="10"/>
  <c r="AZ338" i="10"/>
  <c r="AZ339" i="10"/>
  <c r="AZ340" i="10"/>
  <c r="AZ341" i="10"/>
  <c r="AZ342" i="10"/>
  <c r="AZ343" i="10"/>
  <c r="AZ344" i="10"/>
  <c r="AZ345" i="10"/>
  <c r="AZ346" i="10"/>
  <c r="AZ347" i="10"/>
  <c r="AZ348" i="10"/>
  <c r="AZ349" i="10"/>
  <c r="AZ350" i="10"/>
  <c r="AZ351" i="10"/>
  <c r="AZ352" i="10"/>
  <c r="AZ231" i="10"/>
  <c r="V30" i="10"/>
  <c r="V31" i="10"/>
  <c r="V32" i="10"/>
  <c r="V33" i="10"/>
  <c r="V34" i="10"/>
  <c r="V35" i="10"/>
  <c r="V36" i="10"/>
  <c r="V37" i="10"/>
  <c r="V38" i="10"/>
  <c r="FC39" i="10"/>
  <c r="FC40" i="10"/>
  <c r="FC41" i="10"/>
  <c r="FC42" i="10"/>
  <c r="FC3" i="10"/>
  <c r="FC4" i="10"/>
  <c r="FC5" i="10"/>
  <c r="FC6" i="10"/>
  <c r="FC7" i="10"/>
  <c r="FC8" i="10"/>
  <c r="FC9" i="10"/>
  <c r="FC10" i="10"/>
  <c r="FC11" i="10"/>
  <c r="FC12" i="10"/>
  <c r="FC13" i="10"/>
  <c r="FC14" i="10"/>
  <c r="FC15" i="10"/>
  <c r="FC16" i="10"/>
  <c r="FC17" i="10"/>
  <c r="FC18" i="10"/>
  <c r="FC19" i="10"/>
  <c r="FC20" i="10"/>
  <c r="FC21" i="10"/>
  <c r="FC22" i="10"/>
  <c r="FC23" i="10"/>
  <c r="FC24" i="10"/>
  <c r="FC25" i="10"/>
  <c r="FC26" i="10"/>
  <c r="FC27" i="10"/>
  <c r="FC28" i="10"/>
  <c r="FC29" i="10"/>
  <c r="FC30" i="10"/>
  <c r="FC31" i="10"/>
  <c r="FC32" i="10"/>
  <c r="FC33" i="10"/>
  <c r="FC34" i="10"/>
  <c r="FC35" i="10"/>
  <c r="FC36" i="10"/>
  <c r="FC37" i="10"/>
  <c r="FC38" i="10"/>
  <c r="FC2" i="10"/>
  <c r="D7" i="35"/>
  <c r="D10" i="35"/>
  <c r="D14" i="35"/>
  <c r="D18" i="35"/>
  <c r="D22" i="35"/>
  <c r="D26" i="35"/>
  <c r="D30" i="35"/>
  <c r="D34" i="35"/>
  <c r="D38" i="35"/>
  <c r="D42" i="35"/>
  <c r="D46" i="35"/>
  <c r="D50" i="35"/>
  <c r="D54" i="35"/>
  <c r="D58" i="35"/>
  <c r="D62" i="35"/>
  <c r="D66" i="35"/>
  <c r="D70" i="35"/>
  <c r="D74" i="35"/>
  <c r="D78" i="35"/>
  <c r="D82" i="35"/>
  <c r="D86" i="35"/>
  <c r="D90" i="35"/>
  <c r="D94" i="35"/>
  <c r="D98" i="35"/>
  <c r="D102" i="35"/>
  <c r="D106" i="35"/>
  <c r="D110" i="35"/>
  <c r="D114" i="35"/>
  <c r="D118" i="35"/>
  <c r="D122" i="35"/>
  <c r="D126" i="35"/>
  <c r="D130" i="35"/>
  <c r="D134" i="35"/>
  <c r="D138" i="35"/>
  <c r="D142" i="35"/>
  <c r="D146" i="35"/>
  <c r="D150" i="35"/>
  <c r="D154" i="35"/>
  <c r="D158" i="35"/>
  <c r="D162" i="35"/>
  <c r="D166" i="35"/>
  <c r="D170" i="35"/>
  <c r="D174" i="35"/>
  <c r="D178" i="35"/>
  <c r="D182" i="35"/>
  <c r="A7" i="35"/>
  <c r="A8" i="35"/>
  <c r="D8" i="35" s="1"/>
  <c r="A9" i="35"/>
  <c r="D9" i="35" s="1"/>
  <c r="A10" i="35"/>
  <c r="A11" i="35"/>
  <c r="D11" i="35" s="1"/>
  <c r="A12" i="35"/>
  <c r="D12" i="35" s="1"/>
  <c r="A13" i="35"/>
  <c r="D13" i="35" s="1"/>
  <c r="A14" i="35"/>
  <c r="A15" i="35"/>
  <c r="D15" i="35" s="1"/>
  <c r="A16" i="35"/>
  <c r="D16" i="35" s="1"/>
  <c r="A17" i="35"/>
  <c r="D17" i="35" s="1"/>
  <c r="A18" i="35"/>
  <c r="A19" i="35"/>
  <c r="D19" i="35" s="1"/>
  <c r="A20" i="35"/>
  <c r="D20" i="35" s="1"/>
  <c r="A21" i="35"/>
  <c r="D21" i="35" s="1"/>
  <c r="A22" i="35"/>
  <c r="A23" i="35"/>
  <c r="D23" i="35" s="1"/>
  <c r="A24" i="35"/>
  <c r="D24" i="35" s="1"/>
  <c r="A25" i="35"/>
  <c r="D25" i="35" s="1"/>
  <c r="A26" i="35"/>
  <c r="A27" i="35"/>
  <c r="D27" i="35" s="1"/>
  <c r="A28" i="35"/>
  <c r="D28" i="35" s="1"/>
  <c r="A29" i="35"/>
  <c r="D29" i="35" s="1"/>
  <c r="A30" i="35"/>
  <c r="A31" i="35"/>
  <c r="D31" i="35" s="1"/>
  <c r="A32" i="35"/>
  <c r="D32" i="35" s="1"/>
  <c r="A33" i="35"/>
  <c r="D33" i="35" s="1"/>
  <c r="A34" i="35"/>
  <c r="A35" i="35"/>
  <c r="D35" i="35" s="1"/>
  <c r="A36" i="35"/>
  <c r="D36" i="35" s="1"/>
  <c r="A37" i="35"/>
  <c r="D37" i="35" s="1"/>
  <c r="A38" i="35"/>
  <c r="A39" i="35"/>
  <c r="D39" i="35" s="1"/>
  <c r="A40" i="35"/>
  <c r="D40" i="35" s="1"/>
  <c r="A41" i="35"/>
  <c r="D41" i="35" s="1"/>
  <c r="A42" i="35"/>
  <c r="A43" i="35"/>
  <c r="D43" i="35" s="1"/>
  <c r="A44" i="35"/>
  <c r="D44" i="35" s="1"/>
  <c r="A45" i="35"/>
  <c r="D45" i="35" s="1"/>
  <c r="A46" i="35"/>
  <c r="A47" i="35"/>
  <c r="D47" i="35" s="1"/>
  <c r="A48" i="35"/>
  <c r="D48" i="35" s="1"/>
  <c r="A49" i="35"/>
  <c r="D49" i="35" s="1"/>
  <c r="A50" i="35"/>
  <c r="A51" i="35"/>
  <c r="D51" i="35" s="1"/>
  <c r="A52" i="35"/>
  <c r="D52" i="35" s="1"/>
  <c r="A53" i="35"/>
  <c r="D53" i="35" s="1"/>
  <c r="A54" i="35"/>
  <c r="A55" i="35"/>
  <c r="D55" i="35" s="1"/>
  <c r="A56" i="35"/>
  <c r="D56" i="35" s="1"/>
  <c r="A57" i="35"/>
  <c r="D57" i="35" s="1"/>
  <c r="A58" i="35"/>
  <c r="A59" i="35"/>
  <c r="D59" i="35" s="1"/>
  <c r="A60" i="35"/>
  <c r="D60" i="35" s="1"/>
  <c r="A61" i="35"/>
  <c r="D61" i="35" s="1"/>
  <c r="A62" i="35"/>
  <c r="A63" i="35"/>
  <c r="D63" i="35" s="1"/>
  <c r="A64" i="35"/>
  <c r="D64" i="35" s="1"/>
  <c r="A65" i="35"/>
  <c r="D65" i="35" s="1"/>
  <c r="A66" i="35"/>
  <c r="A67" i="35"/>
  <c r="D67" i="35" s="1"/>
  <c r="A68" i="35"/>
  <c r="D68" i="35" s="1"/>
  <c r="A69" i="35"/>
  <c r="D69" i="35" s="1"/>
  <c r="A70" i="35"/>
  <c r="A71" i="35"/>
  <c r="D71" i="35" s="1"/>
  <c r="A72" i="35"/>
  <c r="D72" i="35" s="1"/>
  <c r="A73" i="35"/>
  <c r="D73" i="35" s="1"/>
  <c r="A74" i="35"/>
  <c r="A75" i="35"/>
  <c r="D75" i="35" s="1"/>
  <c r="A76" i="35"/>
  <c r="D76" i="35" s="1"/>
  <c r="A77" i="35"/>
  <c r="D77" i="35" s="1"/>
  <c r="A78" i="35"/>
  <c r="A79" i="35"/>
  <c r="D79" i="35" s="1"/>
  <c r="A80" i="35"/>
  <c r="D80" i="35" s="1"/>
  <c r="A81" i="35"/>
  <c r="D81" i="35" s="1"/>
  <c r="A82" i="35"/>
  <c r="A83" i="35"/>
  <c r="D83" i="35" s="1"/>
  <c r="A84" i="35"/>
  <c r="D84" i="35" s="1"/>
  <c r="A85" i="35"/>
  <c r="D85" i="35" s="1"/>
  <c r="A86" i="35"/>
  <c r="A87" i="35"/>
  <c r="D87" i="35" s="1"/>
  <c r="A88" i="35"/>
  <c r="D88" i="35" s="1"/>
  <c r="A89" i="35"/>
  <c r="D89" i="35" s="1"/>
  <c r="A90" i="35"/>
  <c r="A91" i="35"/>
  <c r="D91" i="35" s="1"/>
  <c r="A92" i="35"/>
  <c r="D92" i="35" s="1"/>
  <c r="A93" i="35"/>
  <c r="D93" i="35" s="1"/>
  <c r="A94" i="35"/>
  <c r="A95" i="35"/>
  <c r="D95" i="35" s="1"/>
  <c r="A96" i="35"/>
  <c r="D96" i="35" s="1"/>
  <c r="A97" i="35"/>
  <c r="D97" i="35" s="1"/>
  <c r="A98" i="35"/>
  <c r="A99" i="35"/>
  <c r="D99" i="35" s="1"/>
  <c r="A100" i="35"/>
  <c r="D100" i="35" s="1"/>
  <c r="A101" i="35"/>
  <c r="D101" i="35" s="1"/>
  <c r="A102" i="35"/>
  <c r="A103" i="35"/>
  <c r="D103" i="35" s="1"/>
  <c r="A104" i="35"/>
  <c r="D104" i="35" s="1"/>
  <c r="A105" i="35"/>
  <c r="D105" i="35" s="1"/>
  <c r="A106" i="35"/>
  <c r="A107" i="35"/>
  <c r="D107" i="35" s="1"/>
  <c r="A108" i="35"/>
  <c r="D108" i="35" s="1"/>
  <c r="A109" i="35"/>
  <c r="D109" i="35" s="1"/>
  <c r="A110" i="35"/>
  <c r="A111" i="35"/>
  <c r="D111" i="35" s="1"/>
  <c r="A112" i="35"/>
  <c r="D112" i="35" s="1"/>
  <c r="A113" i="35"/>
  <c r="D113" i="35" s="1"/>
  <c r="A114" i="35"/>
  <c r="A115" i="35"/>
  <c r="D115" i="35" s="1"/>
  <c r="A116" i="35"/>
  <c r="D116" i="35" s="1"/>
  <c r="A117" i="35"/>
  <c r="D117" i="35" s="1"/>
  <c r="A118" i="35"/>
  <c r="A119" i="35"/>
  <c r="D119" i="35" s="1"/>
  <c r="A120" i="35"/>
  <c r="D120" i="35" s="1"/>
  <c r="A121" i="35"/>
  <c r="D121" i="35" s="1"/>
  <c r="A122" i="35"/>
  <c r="A123" i="35"/>
  <c r="D123" i="35" s="1"/>
  <c r="A124" i="35"/>
  <c r="D124" i="35" s="1"/>
  <c r="A125" i="35"/>
  <c r="D125" i="35" s="1"/>
  <c r="A126" i="35"/>
  <c r="A127" i="35"/>
  <c r="D127" i="35" s="1"/>
  <c r="A128" i="35"/>
  <c r="D128" i="35" s="1"/>
  <c r="A129" i="35"/>
  <c r="D129" i="35" s="1"/>
  <c r="A130" i="35"/>
  <c r="A131" i="35"/>
  <c r="D131" i="35" s="1"/>
  <c r="A132" i="35"/>
  <c r="D132" i="35" s="1"/>
  <c r="A133" i="35"/>
  <c r="D133" i="35" s="1"/>
  <c r="A134" i="35"/>
  <c r="A135" i="35"/>
  <c r="D135" i="35" s="1"/>
  <c r="A136" i="35"/>
  <c r="D136" i="35" s="1"/>
  <c r="A137" i="35"/>
  <c r="D137" i="35" s="1"/>
  <c r="A138" i="35"/>
  <c r="A139" i="35"/>
  <c r="D139" i="35" s="1"/>
  <c r="A140" i="35"/>
  <c r="D140" i="35" s="1"/>
  <c r="A141" i="35"/>
  <c r="D141" i="35" s="1"/>
  <c r="A142" i="35"/>
  <c r="A143" i="35"/>
  <c r="D143" i="35" s="1"/>
  <c r="A144" i="35"/>
  <c r="D144" i="35" s="1"/>
  <c r="A145" i="35"/>
  <c r="D145" i="35" s="1"/>
  <c r="A146" i="35"/>
  <c r="A147" i="35"/>
  <c r="D147" i="35" s="1"/>
  <c r="A148" i="35"/>
  <c r="D148" i="35" s="1"/>
  <c r="A149" i="35"/>
  <c r="D149" i="35" s="1"/>
  <c r="A150" i="35"/>
  <c r="A151" i="35"/>
  <c r="D151" i="35" s="1"/>
  <c r="A152" i="35"/>
  <c r="D152" i="35" s="1"/>
  <c r="A153" i="35"/>
  <c r="D153" i="35" s="1"/>
  <c r="A154" i="35"/>
  <c r="A155" i="35"/>
  <c r="D155" i="35" s="1"/>
  <c r="A156" i="35"/>
  <c r="D156" i="35" s="1"/>
  <c r="A157" i="35"/>
  <c r="D157" i="35" s="1"/>
  <c r="A158" i="35"/>
  <c r="A159" i="35"/>
  <c r="D159" i="35" s="1"/>
  <c r="A160" i="35"/>
  <c r="D160" i="35" s="1"/>
  <c r="A161" i="35"/>
  <c r="D161" i="35" s="1"/>
  <c r="A162" i="35"/>
  <c r="A163" i="35"/>
  <c r="D163" i="35" s="1"/>
  <c r="A164" i="35"/>
  <c r="D164" i="35" s="1"/>
  <c r="A165" i="35"/>
  <c r="D165" i="35" s="1"/>
  <c r="A166" i="35"/>
  <c r="A167" i="35"/>
  <c r="D167" i="35" s="1"/>
  <c r="A168" i="35"/>
  <c r="D168" i="35" s="1"/>
  <c r="A169" i="35"/>
  <c r="D169" i="35" s="1"/>
  <c r="A170" i="35"/>
  <c r="A171" i="35"/>
  <c r="D171" i="35" s="1"/>
  <c r="A172" i="35"/>
  <c r="D172" i="35" s="1"/>
  <c r="A173" i="35"/>
  <c r="D173" i="35" s="1"/>
  <c r="A174" i="35"/>
  <c r="A175" i="35"/>
  <c r="D175" i="35" s="1"/>
  <c r="A176" i="35"/>
  <c r="D176" i="35" s="1"/>
  <c r="A177" i="35"/>
  <c r="D177" i="35" s="1"/>
  <c r="A178" i="35"/>
  <c r="A179" i="35"/>
  <c r="D179" i="35" s="1"/>
  <c r="A180" i="35"/>
  <c r="D180" i="35" s="1"/>
  <c r="A181" i="35"/>
  <c r="D181" i="35" s="1"/>
  <c r="A182" i="35"/>
  <c r="A6" i="35"/>
  <c r="D6" i="35" s="1"/>
  <c r="FC77" i="10" l="1"/>
  <c r="FC76" i="10"/>
  <c r="FC75" i="10"/>
  <c r="E3" i="39"/>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2" i="39"/>
  <c r="C2" i="39"/>
  <c r="C3" i="39"/>
  <c r="C4" i="39"/>
  <c r="C5" i="39"/>
  <c r="F5" i="39" s="1"/>
  <c r="G5" i="39" s="1"/>
  <c r="H5" i="39" s="1"/>
  <c r="BL10" i="10" s="1"/>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5" i="37"/>
  <c r="K4" i="37"/>
  <c r="K3" i="37"/>
  <c r="K2"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2"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2" i="37"/>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2" i="37"/>
  <c r="E2" i="37"/>
  <c r="AZ107" i="10"/>
  <c r="AZ108"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163" i="10"/>
  <c r="AZ164" i="10"/>
  <c r="AZ165" i="10"/>
  <c r="AZ166" i="10"/>
  <c r="AZ167" i="10"/>
  <c r="AZ168" i="10"/>
  <c r="AZ169" i="10"/>
  <c r="AZ170" i="10"/>
  <c r="AZ171" i="10"/>
  <c r="AZ172" i="10"/>
  <c r="AZ173" i="10"/>
  <c r="AZ174" i="10"/>
  <c r="AZ175" i="10"/>
  <c r="AZ176" i="10"/>
  <c r="AZ177" i="10"/>
  <c r="AZ178" i="10"/>
  <c r="AZ179" i="10"/>
  <c r="AZ180" i="10"/>
  <c r="AZ181" i="10"/>
  <c r="AZ182" i="10"/>
  <c r="AZ184" i="10"/>
  <c r="AZ185" i="10"/>
  <c r="AZ183" i="10"/>
  <c r="AZ186" i="10"/>
  <c r="AZ188" i="10"/>
  <c r="AZ189" i="10"/>
  <c r="AZ187" i="10"/>
  <c r="AZ190" i="10"/>
  <c r="AZ192" i="10"/>
  <c r="AZ193" i="10"/>
  <c r="AZ191" i="10"/>
  <c r="AZ194" i="10"/>
  <c r="AZ196" i="10"/>
  <c r="AZ197" i="10"/>
  <c r="AZ195" i="10"/>
  <c r="AZ198" i="10"/>
  <c r="AZ199" i="10"/>
  <c r="AZ200" i="10"/>
  <c r="AZ201" i="10"/>
  <c r="AZ202" i="10"/>
  <c r="AZ203" i="10"/>
  <c r="AZ204" i="10"/>
  <c r="AZ205" i="10"/>
  <c r="AZ206" i="10"/>
  <c r="AZ207" i="10"/>
  <c r="AZ208" i="10"/>
  <c r="AZ209" i="10"/>
  <c r="AZ210" i="10"/>
  <c r="AZ211" i="10"/>
  <c r="AZ212" i="10"/>
  <c r="AZ213" i="10"/>
  <c r="AZ214" i="10"/>
  <c r="AZ215" i="10"/>
  <c r="AZ216" i="10"/>
  <c r="AZ217" i="10"/>
  <c r="AZ218" i="10"/>
  <c r="AZ219" i="10"/>
  <c r="AZ220" i="10"/>
  <c r="AZ221" i="10"/>
  <c r="AZ222" i="10"/>
  <c r="AZ223" i="10"/>
  <c r="AZ224" i="10"/>
  <c r="AZ225" i="10"/>
  <c r="AZ226" i="10"/>
  <c r="AZ227" i="10"/>
  <c r="AZ228" i="10"/>
  <c r="AZ229" i="10"/>
  <c r="AZ230" i="10"/>
  <c r="AZ106" i="10"/>
  <c r="F41" i="39" l="1"/>
  <c r="G41" i="39" s="1"/>
  <c r="H41" i="39" s="1"/>
  <c r="BL46" i="10" s="1"/>
  <c r="F2" i="39"/>
  <c r="G2" i="39" s="1"/>
  <c r="H2" i="39" s="1"/>
  <c r="BL7" i="10" s="1"/>
  <c r="F34" i="39"/>
  <c r="G34" i="39" s="1"/>
  <c r="H34" i="39" s="1"/>
  <c r="BL39" i="10" s="1"/>
  <c r="F26" i="39"/>
  <c r="G26" i="39" s="1"/>
  <c r="H26" i="39" s="1"/>
  <c r="BL31" i="10" s="1"/>
  <c r="F18" i="39"/>
  <c r="G18" i="39" s="1"/>
  <c r="H18" i="39" s="1"/>
  <c r="BL23" i="10" s="1"/>
  <c r="F10" i="39"/>
  <c r="G10" i="39" s="1"/>
  <c r="H10" i="39" s="1"/>
  <c r="BL15" i="10" s="1"/>
  <c r="F31" i="39"/>
  <c r="G31" i="39" s="1"/>
  <c r="H31" i="39" s="1"/>
  <c r="BL36" i="10" s="1"/>
  <c r="F23" i="39"/>
  <c r="G23" i="39" s="1"/>
  <c r="H23" i="39" s="1"/>
  <c r="BL28" i="10" s="1"/>
  <c r="F15" i="39"/>
  <c r="G15" i="39" s="1"/>
  <c r="H15" i="39" s="1"/>
  <c r="BL20" i="10" s="1"/>
  <c r="F7" i="39"/>
  <c r="G7" i="39" s="1"/>
  <c r="H7" i="39" s="1"/>
  <c r="BL12" i="10" s="1"/>
  <c r="F40" i="39"/>
  <c r="G40" i="39" s="1"/>
  <c r="H40" i="39" s="1"/>
  <c r="BL45" i="10" s="1"/>
  <c r="F32" i="39"/>
  <c r="G32" i="39" s="1"/>
  <c r="H32" i="39" s="1"/>
  <c r="BL37" i="10" s="1"/>
  <c r="F24" i="39"/>
  <c r="G24" i="39" s="1"/>
  <c r="H24" i="39" s="1"/>
  <c r="BL29" i="10" s="1"/>
  <c r="F16" i="39"/>
  <c r="G16" i="39" s="1"/>
  <c r="H16" i="39" s="1"/>
  <c r="BL21" i="10" s="1"/>
  <c r="F8" i="39"/>
  <c r="G8" i="39" s="1"/>
  <c r="H8" i="39" s="1"/>
  <c r="BL13" i="10" s="1"/>
  <c r="F38" i="39"/>
  <c r="G38" i="39" s="1"/>
  <c r="H38" i="39" s="1"/>
  <c r="BL43" i="10" s="1"/>
  <c r="F30" i="39"/>
  <c r="G30" i="39" s="1"/>
  <c r="H30" i="39" s="1"/>
  <c r="BL35" i="10" s="1"/>
  <c r="F22" i="39"/>
  <c r="G22" i="39" s="1"/>
  <c r="H22" i="39" s="1"/>
  <c r="BL27" i="10" s="1"/>
  <c r="F14" i="39"/>
  <c r="G14" i="39" s="1"/>
  <c r="H14" i="39" s="1"/>
  <c r="BL19" i="10" s="1"/>
  <c r="F6" i="39"/>
  <c r="G6" i="39" s="1"/>
  <c r="H6" i="39" s="1"/>
  <c r="BL11" i="10" s="1"/>
  <c r="F36" i="39"/>
  <c r="G36" i="39" s="1"/>
  <c r="H36" i="39" s="1"/>
  <c r="BL41" i="10" s="1"/>
  <c r="F28" i="39"/>
  <c r="G28" i="39" s="1"/>
  <c r="H28" i="39" s="1"/>
  <c r="BL33" i="10" s="1"/>
  <c r="F20" i="39"/>
  <c r="G20" i="39" s="1"/>
  <c r="H20" i="39" s="1"/>
  <c r="BL25" i="10" s="1"/>
  <c r="F12" i="39"/>
  <c r="G12" i="39" s="1"/>
  <c r="H12" i="39" s="1"/>
  <c r="BL17" i="10" s="1"/>
  <c r="F4" i="39"/>
  <c r="G4" i="39" s="1"/>
  <c r="H4" i="39" s="1"/>
  <c r="BL9" i="10" s="1"/>
  <c r="L2" i="37"/>
  <c r="F33" i="39"/>
  <c r="G33" i="39" s="1"/>
  <c r="H33" i="39" s="1"/>
  <c r="BL38" i="10" s="1"/>
  <c r="F29" i="39"/>
  <c r="G29" i="39" s="1"/>
  <c r="H29" i="39" s="1"/>
  <c r="BL34" i="10" s="1"/>
  <c r="F25" i="39"/>
  <c r="G25" i="39" s="1"/>
  <c r="H25" i="39" s="1"/>
  <c r="BL30" i="10" s="1"/>
  <c r="F21" i="39"/>
  <c r="G21" i="39" s="1"/>
  <c r="H21" i="39" s="1"/>
  <c r="BL26" i="10" s="1"/>
  <c r="F17" i="39"/>
  <c r="G17" i="39" s="1"/>
  <c r="H17" i="39" s="1"/>
  <c r="BL22" i="10" s="1"/>
  <c r="F13" i="39"/>
  <c r="G13" i="39" s="1"/>
  <c r="H13" i="39" s="1"/>
  <c r="BL18" i="10" s="1"/>
  <c r="F9" i="39"/>
  <c r="G9" i="39" s="1"/>
  <c r="H9" i="39" s="1"/>
  <c r="BL14" i="10" s="1"/>
  <c r="F39" i="39"/>
  <c r="G39" i="39" s="1"/>
  <c r="H39" i="39" s="1"/>
  <c r="BL44" i="10" s="1"/>
  <c r="F35" i="39"/>
  <c r="G35" i="39" s="1"/>
  <c r="H35" i="39" s="1"/>
  <c r="BL40" i="10" s="1"/>
  <c r="F27" i="39"/>
  <c r="G27" i="39" s="1"/>
  <c r="H27" i="39" s="1"/>
  <c r="BL32" i="10" s="1"/>
  <c r="F19" i="39"/>
  <c r="G19" i="39" s="1"/>
  <c r="H19" i="39" s="1"/>
  <c r="BL24" i="10" s="1"/>
  <c r="F11" i="39"/>
  <c r="G11" i="39" s="1"/>
  <c r="H11" i="39" s="1"/>
  <c r="BL16" i="10" s="1"/>
  <c r="F3" i="39"/>
  <c r="G3" i="39" s="1"/>
  <c r="H3" i="39" s="1"/>
  <c r="BL8" i="10" s="1"/>
  <c r="F37" i="39"/>
  <c r="G37" i="39" s="1"/>
  <c r="H37" i="39" s="1"/>
  <c r="BL42" i="10" s="1"/>
  <c r="O52" i="28"/>
  <c r="S43" i="28" l="1"/>
  <c r="S42" i="28"/>
  <c r="O27" i="28" l="1"/>
  <c r="O21" i="28"/>
  <c r="Y24" i="10" l="1"/>
  <c r="X28" i="10" s="1"/>
  <c r="Y23" i="10"/>
  <c r="U19" i="10" l="1"/>
  <c r="M41" i="38" l="1"/>
  <c r="K41" i="38"/>
  <c r="N41" i="38" s="1"/>
  <c r="M40" i="38"/>
  <c r="K40" i="38"/>
  <c r="N40" i="38" s="1"/>
  <c r="M39" i="38"/>
  <c r="K39" i="38"/>
  <c r="N39" i="38" s="1"/>
  <c r="M38" i="38"/>
  <c r="K38" i="38"/>
  <c r="N38" i="38" s="1"/>
  <c r="M37" i="38"/>
  <c r="K37" i="38"/>
  <c r="N37" i="38" s="1"/>
  <c r="M36" i="38"/>
  <c r="K36" i="38"/>
  <c r="N36" i="38" s="1"/>
  <c r="M35" i="38"/>
  <c r="K35" i="38"/>
  <c r="N35" i="38" s="1"/>
  <c r="M34" i="38"/>
  <c r="K34" i="38"/>
  <c r="N34" i="38" s="1"/>
  <c r="M33" i="38"/>
  <c r="K33" i="38"/>
  <c r="N33" i="38" s="1"/>
  <c r="M32" i="38"/>
  <c r="K32" i="38"/>
  <c r="N32" i="38" s="1"/>
  <c r="M31" i="38"/>
  <c r="K31" i="38"/>
  <c r="N31" i="38" s="1"/>
  <c r="M30" i="38"/>
  <c r="K30" i="38"/>
  <c r="N30" i="38" s="1"/>
  <c r="M29" i="38"/>
  <c r="K29" i="38"/>
  <c r="N29" i="38" s="1"/>
  <c r="M28" i="38"/>
  <c r="K28" i="38"/>
  <c r="N28" i="38" s="1"/>
  <c r="M27" i="38"/>
  <c r="K27" i="38"/>
  <c r="N27" i="38" s="1"/>
  <c r="M26" i="38"/>
  <c r="K26" i="38"/>
  <c r="N26" i="38" s="1"/>
  <c r="M25" i="38"/>
  <c r="K25" i="38"/>
  <c r="N25" i="38" s="1"/>
  <c r="N24" i="38"/>
  <c r="M24" i="38"/>
  <c r="K24" i="38"/>
  <c r="M23" i="38"/>
  <c r="K23" i="38"/>
  <c r="N23" i="38" s="1"/>
  <c r="M22" i="38"/>
  <c r="K22" i="38"/>
  <c r="N22" i="38" s="1"/>
  <c r="M21" i="38"/>
  <c r="K21" i="38"/>
  <c r="N21" i="38" s="1"/>
  <c r="N20" i="38"/>
  <c r="M20" i="38"/>
  <c r="K20" i="38"/>
  <c r="M19" i="38"/>
  <c r="K19" i="38"/>
  <c r="N19" i="38" s="1"/>
  <c r="M18" i="38"/>
  <c r="K18" i="38"/>
  <c r="N18" i="38" s="1"/>
  <c r="M17" i="38"/>
  <c r="K17" i="38"/>
  <c r="N17" i="38" s="1"/>
  <c r="M16" i="38"/>
  <c r="K16" i="38"/>
  <c r="N16" i="38" s="1"/>
  <c r="M15" i="38"/>
  <c r="K15" i="38"/>
  <c r="N15" i="38" s="1"/>
  <c r="M14" i="38"/>
  <c r="K14" i="38"/>
  <c r="N14" i="38" s="1"/>
  <c r="L14" i="38" s="1"/>
  <c r="M13" i="38"/>
  <c r="K13" i="38"/>
  <c r="N13" i="38" s="1"/>
  <c r="M12" i="38"/>
  <c r="K12" i="38"/>
  <c r="N12" i="38" s="1"/>
  <c r="M11" i="38"/>
  <c r="K11" i="38"/>
  <c r="N11" i="38" s="1"/>
  <c r="M10" i="38"/>
  <c r="K10" i="38"/>
  <c r="N10" i="38" s="1"/>
  <c r="L10" i="38" s="1"/>
  <c r="M9" i="38"/>
  <c r="K9" i="38"/>
  <c r="N9" i="38" s="1"/>
  <c r="M8" i="38"/>
  <c r="K8" i="38"/>
  <c r="N8" i="38" s="1"/>
  <c r="M7" i="38"/>
  <c r="K7" i="38"/>
  <c r="N7" i="38" s="1"/>
  <c r="M6" i="38"/>
  <c r="K6" i="38"/>
  <c r="N6" i="38" s="1"/>
  <c r="M5" i="38"/>
  <c r="K5" i="38"/>
  <c r="N5" i="38" s="1"/>
  <c r="M4" i="38"/>
  <c r="K4" i="38"/>
  <c r="N4" i="38" s="1"/>
  <c r="M3" i="38"/>
  <c r="K3" i="38"/>
  <c r="N3" i="38" s="1"/>
  <c r="M2" i="38"/>
  <c r="K2" i="38"/>
  <c r="N2" i="38" s="1"/>
  <c r="L24" i="38" l="1"/>
  <c r="L26" i="38"/>
  <c r="L30" i="38"/>
  <c r="L28" i="38"/>
  <c r="L18" i="38"/>
  <c r="L32" i="38"/>
  <c r="L4" i="38"/>
  <c r="L22" i="38"/>
  <c r="L36" i="38"/>
  <c r="L40" i="38"/>
  <c r="L8" i="38"/>
  <c r="L12" i="38"/>
  <c r="L2" i="38"/>
  <c r="L16" i="38"/>
  <c r="L34" i="38"/>
  <c r="L6" i="38"/>
  <c r="L20" i="38"/>
  <c r="L38" i="38"/>
  <c r="L31" i="38"/>
  <c r="L39" i="38"/>
  <c r="L7" i="38"/>
  <c r="L15" i="38"/>
  <c r="L5" i="38"/>
  <c r="L21" i="38"/>
  <c r="L29" i="38"/>
  <c r="L11" i="38"/>
  <c r="L23" i="38"/>
  <c r="L13" i="38"/>
  <c r="L37" i="38"/>
  <c r="L3" i="38"/>
  <c r="L19" i="38"/>
  <c r="L27" i="38"/>
  <c r="L35" i="38"/>
  <c r="L9" i="38"/>
  <c r="L17" i="38"/>
  <c r="L25" i="38"/>
  <c r="L33" i="38"/>
  <c r="L41" i="38"/>
  <c r="N48" i="37" l="1"/>
  <c r="L48" i="37"/>
  <c r="O48" i="37" s="1"/>
  <c r="N47" i="37"/>
  <c r="L47" i="37"/>
  <c r="O47" i="37" s="1"/>
  <c r="N46" i="37"/>
  <c r="L46" i="37"/>
  <c r="O46" i="37" s="1"/>
  <c r="N45" i="37"/>
  <c r="L45" i="37"/>
  <c r="O45" i="37" s="1"/>
  <c r="N44" i="37"/>
  <c r="L44" i="37"/>
  <c r="O44" i="37" s="1"/>
  <c r="N43" i="37"/>
  <c r="L43" i="37"/>
  <c r="O43" i="37" s="1"/>
  <c r="N42" i="37"/>
  <c r="L42" i="37"/>
  <c r="O42" i="37" s="1"/>
  <c r="N41" i="37"/>
  <c r="L41" i="37"/>
  <c r="O41" i="37" s="1"/>
  <c r="N40" i="37"/>
  <c r="L40" i="37"/>
  <c r="O40" i="37" s="1"/>
  <c r="N39" i="37"/>
  <c r="L39" i="37"/>
  <c r="O39" i="37" s="1"/>
  <c r="N38" i="37"/>
  <c r="L38" i="37"/>
  <c r="O38" i="37" s="1"/>
  <c r="N37" i="37"/>
  <c r="L37" i="37"/>
  <c r="O37" i="37" s="1"/>
  <c r="N36" i="37"/>
  <c r="L36" i="37"/>
  <c r="O36" i="37" s="1"/>
  <c r="N35" i="37"/>
  <c r="L35" i="37"/>
  <c r="O35" i="37" s="1"/>
  <c r="N34" i="37"/>
  <c r="L34" i="37"/>
  <c r="O34" i="37" s="1"/>
  <c r="N33" i="37"/>
  <c r="L33" i="37"/>
  <c r="O33" i="37" s="1"/>
  <c r="N32" i="37"/>
  <c r="L32" i="37"/>
  <c r="O32" i="37" s="1"/>
  <c r="N31" i="37"/>
  <c r="L31" i="37"/>
  <c r="O31" i="37" s="1"/>
  <c r="N30" i="37"/>
  <c r="L30" i="37"/>
  <c r="O30" i="37" s="1"/>
  <c r="N29" i="37"/>
  <c r="L29" i="37"/>
  <c r="O29" i="37" s="1"/>
  <c r="N28" i="37"/>
  <c r="L28" i="37"/>
  <c r="O28" i="37" s="1"/>
  <c r="N27" i="37"/>
  <c r="L27" i="37"/>
  <c r="O27" i="37" s="1"/>
  <c r="N26" i="37"/>
  <c r="L26" i="37"/>
  <c r="O26" i="37" s="1"/>
  <c r="N25" i="37"/>
  <c r="L25" i="37"/>
  <c r="O25" i="37" s="1"/>
  <c r="N24" i="37"/>
  <c r="L24" i="37"/>
  <c r="O24" i="37" s="1"/>
  <c r="N23" i="37"/>
  <c r="L23" i="37"/>
  <c r="O23" i="37" s="1"/>
  <c r="N22" i="37"/>
  <c r="L22" i="37"/>
  <c r="O22" i="37" s="1"/>
  <c r="N21" i="37"/>
  <c r="L21" i="37"/>
  <c r="O21" i="37" s="1"/>
  <c r="N20" i="37"/>
  <c r="L20" i="37"/>
  <c r="O20" i="37" s="1"/>
  <c r="N19" i="37"/>
  <c r="L19" i="37"/>
  <c r="O19" i="37" s="1"/>
  <c r="N18" i="37"/>
  <c r="L18" i="37"/>
  <c r="O18" i="37" s="1"/>
  <c r="N17" i="37"/>
  <c r="L17" i="37"/>
  <c r="O17" i="37" s="1"/>
  <c r="N16" i="37"/>
  <c r="L16" i="37"/>
  <c r="O16" i="37" s="1"/>
  <c r="N15" i="37"/>
  <c r="L15" i="37"/>
  <c r="O15" i="37" s="1"/>
  <c r="N14" i="37"/>
  <c r="L14" i="37"/>
  <c r="O14" i="37" s="1"/>
  <c r="N13" i="37"/>
  <c r="L13" i="37"/>
  <c r="O13" i="37" s="1"/>
  <c r="N12" i="37"/>
  <c r="L12" i="37"/>
  <c r="O12" i="37" s="1"/>
  <c r="N11" i="37"/>
  <c r="L11" i="37"/>
  <c r="O11" i="37" s="1"/>
  <c r="N10" i="37"/>
  <c r="L10" i="37"/>
  <c r="O10" i="37" s="1"/>
  <c r="N9" i="37"/>
  <c r="L9" i="37"/>
  <c r="O9" i="37" s="1"/>
  <c r="N8" i="37"/>
  <c r="L8" i="37"/>
  <c r="O8" i="37" s="1"/>
  <c r="N7" i="37"/>
  <c r="L7" i="37"/>
  <c r="O7" i="37" s="1"/>
  <c r="N6" i="37"/>
  <c r="L6" i="37"/>
  <c r="O6" i="37" s="1"/>
  <c r="N5" i="37"/>
  <c r="L5" i="37"/>
  <c r="O5" i="37" s="1"/>
  <c r="N4" i="37"/>
  <c r="L4" i="37"/>
  <c r="O4" i="37" s="1"/>
  <c r="N3" i="37"/>
  <c r="L3" i="37"/>
  <c r="O3" i="37" s="1"/>
  <c r="N2" i="37"/>
  <c r="O2" i="37"/>
  <c r="M33" i="37" l="1"/>
  <c r="M41" i="37"/>
  <c r="M10" i="37"/>
  <c r="M7" i="37"/>
  <c r="M11" i="37"/>
  <c r="M34" i="37"/>
  <c r="M42" i="37"/>
  <c r="M46" i="37"/>
  <c r="M19" i="37"/>
  <c r="M25" i="37"/>
  <c r="M29" i="37"/>
  <c r="M17" i="37"/>
  <c r="M14" i="37"/>
  <c r="M18" i="37"/>
  <c r="M26" i="37"/>
  <c r="M27" i="37"/>
  <c r="M31" i="37"/>
  <c r="M32" i="37"/>
  <c r="M40" i="37"/>
  <c r="M48" i="37"/>
  <c r="M21" i="37"/>
  <c r="M35" i="37"/>
  <c r="M39" i="37"/>
  <c r="M15" i="37"/>
  <c r="M22" i="37"/>
  <c r="M36" i="37"/>
  <c r="M43" i="37"/>
  <c r="M47" i="37"/>
  <c r="M5" i="37"/>
  <c r="M23" i="37"/>
  <c r="M30" i="37"/>
  <c r="M37" i="37"/>
  <c r="M44" i="37"/>
  <c r="M9" i="37"/>
  <c r="M6" i="37"/>
  <c r="M13" i="37"/>
  <c r="M38" i="37"/>
  <c r="M45" i="37"/>
  <c r="M3" i="37"/>
  <c r="M2" i="37"/>
  <c r="M4" i="37"/>
  <c r="M8" i="37"/>
  <c r="M12" i="37"/>
  <c r="M16" i="37"/>
  <c r="M20" i="37"/>
  <c r="M24" i="37"/>
  <c r="M28" i="37"/>
  <c r="W30" i="10"/>
  <c r="W31" i="10"/>
  <c r="W32" i="10"/>
  <c r="W33" i="10"/>
  <c r="W34" i="10"/>
  <c r="W35" i="10"/>
  <c r="W36" i="10"/>
  <c r="W37" i="10"/>
  <c r="W38" i="10"/>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W29" i="10" s="1"/>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6" i="10"/>
  <c r="FB77" i="10"/>
  <c r="FB75" i="10"/>
  <c r="FB78" i="10"/>
  <c r="FB79" i="10"/>
  <c r="FB80" i="10"/>
  <c r="FB81" i="10"/>
  <c r="FB82" i="10"/>
  <c r="FB7" i="10"/>
  <c r="E99" i="10" l="1"/>
  <c r="E100" i="10" s="1"/>
  <c r="E101" i="10" s="1"/>
  <c r="E102" i="10" l="1"/>
  <c r="W40" i="10"/>
  <c r="W41" i="10"/>
  <c r="W42" i="10"/>
  <c r="W43" i="10"/>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D77" i="10"/>
  <c r="FC81" i="10"/>
  <c r="FD81" i="10" s="1"/>
  <c r="FC46" i="10"/>
  <c r="FD46" i="10" s="1"/>
  <c r="FC50" i="10"/>
  <c r="FD50" i="10" s="1"/>
  <c r="FC54" i="10"/>
  <c r="FD54" i="10" s="1"/>
  <c r="FC58" i="10"/>
  <c r="FD58" i="10" s="1"/>
  <c r="FC59" i="10"/>
  <c r="FD59" i="10" s="1"/>
  <c r="FC68" i="10"/>
  <c r="FD68" i="10" s="1"/>
  <c r="FD76" i="10"/>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D75" i="10"/>
  <c r="FC79" i="10"/>
  <c r="FD79" i="10" s="1"/>
  <c r="FD40" i="10"/>
  <c r="FD5" i="10"/>
  <c r="FD9" i="10"/>
  <c r="FD13" i="10"/>
  <c r="FD17" i="10"/>
  <c r="FD21" i="10"/>
  <c r="FD25" i="10"/>
  <c r="FD29" i="10"/>
  <c r="FD33" i="10"/>
  <c r="FD37" i="10"/>
  <c r="FD2" i="10"/>
  <c r="FD4" i="10"/>
  <c r="FD8" i="10"/>
  <c r="FD16" i="10"/>
  <c r="FD20" i="10"/>
  <c r="FD28" i="10"/>
  <c r="FD36" i="10"/>
  <c r="FD41" i="10"/>
  <c r="FD6" i="10"/>
  <c r="FD10" i="10"/>
  <c r="FD14" i="10"/>
  <c r="FD18" i="10"/>
  <c r="FD22" i="10"/>
  <c r="FD26" i="10"/>
  <c r="FD30" i="10"/>
  <c r="FD34" i="10"/>
  <c r="FD38" i="10"/>
  <c r="FD12" i="10"/>
  <c r="FD24" i="10"/>
  <c r="FD32" i="10"/>
  <c r="FD42" i="10"/>
  <c r="FD7" i="10"/>
  <c r="FD11" i="10"/>
  <c r="FD15" i="10"/>
  <c r="FD19" i="10"/>
  <c r="FD23" i="10"/>
  <c r="FD31" i="10"/>
  <c r="FD35" i="10"/>
  <c r="FD3" i="10"/>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2" i="10"/>
  <c r="EO33" i="10"/>
  <c r="EO34" i="10"/>
  <c r="EO35" i="10"/>
  <c r="EO36" i="10"/>
  <c r="EO37" i="10"/>
  <c r="EO38" i="10"/>
  <c r="EO39" i="10"/>
  <c r="EO41" i="10"/>
  <c r="EO42" i="10"/>
  <c r="EO43" i="10"/>
  <c r="EO44" i="10"/>
  <c r="EO45" i="10"/>
  <c r="EO31"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D111" i="10" s="1"/>
  <c r="M49" i="10"/>
  <c r="BT12" i="10"/>
  <c r="T19" i="10" l="1"/>
  <c r="AB37" i="10" s="1"/>
  <c r="AB38" i="10" s="1"/>
  <c r="BT6" i="10"/>
  <c r="H71" i="10"/>
  <c r="K75" i="10"/>
  <c r="H69" i="10"/>
  <c r="I35" i="10"/>
  <c r="K32" i="10"/>
  <c r="N30" i="10"/>
  <c r="N31" i="10"/>
  <c r="CA29" i="10" s="1"/>
  <c r="CD29" i="10" s="1"/>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N44" i="10" l="1"/>
  <c r="S44" i="28"/>
  <c r="U35" i="28" s="1"/>
  <c r="Q18" i="28"/>
  <c r="BT11" i="10"/>
  <c r="BT13" i="10" s="1"/>
  <c r="BR14" i="10" s="1"/>
  <c r="G48" i="10"/>
  <c r="M15" i="10"/>
  <c r="M47" i="10"/>
  <c r="M51" i="10" s="1"/>
  <c r="M52" i="10" s="1"/>
  <c r="H47" i="10"/>
  <c r="L61" i="10"/>
  <c r="L62" i="10" s="1"/>
  <c r="G57" i="10"/>
  <c r="T1" i="10"/>
  <c r="P65" i="10"/>
  <c r="N63" i="10" s="1"/>
  <c r="M44" i="10"/>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D110" i="10" l="1"/>
  <c r="D109" i="10"/>
  <c r="O44" i="10"/>
  <c r="M17" i="10"/>
  <c r="N15" i="10" s="1"/>
  <c r="D48" i="10"/>
  <c r="T25" i="10"/>
  <c r="K76" i="10"/>
  <c r="I53" i="10"/>
  <c r="T22" i="10"/>
  <c r="BT15" i="10"/>
  <c r="BT17" i="10" s="1"/>
  <c r="BR18" i="10" s="1"/>
  <c r="H73" i="10"/>
  <c r="H74" i="10" s="1"/>
  <c r="K73" i="10"/>
  <c r="G46" i="10"/>
  <c r="G51" i="10"/>
  <c r="G53" i="10" s="1"/>
  <c r="BR9" i="10"/>
  <c r="G54" i="10"/>
  <c r="BS20" i="10"/>
  <c r="M48" i="10"/>
  <c r="M53" i="10" s="1"/>
  <c r="BR21" i="10" l="1"/>
  <c r="BR20" i="10" s="1"/>
  <c r="O51" i="10"/>
  <c r="I45" i="10"/>
  <c r="I44" i="10" s="1"/>
  <c r="G44" i="10" s="1"/>
  <c r="D49" i="10"/>
  <c r="G55" i="10"/>
  <c r="I47" i="10" s="1"/>
  <c r="I48" i="10" s="1"/>
  <c r="I49" i="10" s="1"/>
  <c r="I51" i="10" s="1"/>
  <c r="I54" i="10" s="1"/>
  <c r="I55" i="10" s="1"/>
  <c r="U60" i="10"/>
  <c r="U59" i="10"/>
  <c r="N17" i="10"/>
  <c r="O57" i="10"/>
  <c r="CA28" i="10"/>
  <c r="CD28" i="10" s="1"/>
  <c r="CD32" i="10" s="1"/>
  <c r="CG35" i="10" s="1"/>
  <c r="CG36" i="10" s="1"/>
  <c r="U58" i="10" l="1"/>
  <c r="I56" i="10"/>
  <c r="G59" i="10"/>
  <c r="G60" i="10" s="1"/>
  <c r="T58" i="10" l="1"/>
  <c r="V55" i="10"/>
  <c r="N66" i="10" l="1"/>
  <c r="N67" i="10" s="1"/>
  <c r="I41" i="10" s="1"/>
  <c r="K41" i="10" l="1"/>
  <c r="K74" i="10"/>
  <c r="I38" i="10" s="1"/>
  <c r="AB45" i="10" l="1"/>
  <c r="B46" i="10"/>
  <c r="Q57" i="10"/>
  <c r="K38" i="10"/>
  <c r="V50" i="10"/>
  <c r="X50" i="10" s="1"/>
  <c r="Y49" i="10" s="1"/>
  <c r="Y50" i="10" s="1"/>
  <c r="V47" i="10"/>
  <c r="X47" i="10" s="1"/>
  <c r="Y47" i="10" s="1"/>
  <c r="V49" i="10"/>
  <c r="X49" i="10" s="1"/>
  <c r="Y48" i="10" s="1"/>
  <c r="V46" i="10"/>
  <c r="X46" i="10" s="1"/>
  <c r="Y46" i="10" s="1"/>
  <c r="V48" i="10"/>
  <c r="X48" i="10" s="1"/>
  <c r="I40" i="10" l="1"/>
  <c r="V53" i="10" s="1"/>
  <c r="V51" i="10" l="1"/>
  <c r="K40" i="10"/>
  <c r="V52" i="10"/>
  <c r="N64" i="10"/>
  <c r="AB55" i="10"/>
  <c r="V56" i="10" s="1"/>
  <c r="R46" i="10" s="1"/>
  <c r="I42" i="10" s="1"/>
  <c r="R45" i="10"/>
  <c r="V54" i="10"/>
  <c r="D112" i="10" l="1"/>
  <c r="E112" i="10" s="1"/>
  <c r="L34" i="10" s="1"/>
  <c r="N34" i="10" s="1"/>
  <c r="K42" i="10"/>
  <c r="D118" i="10" l="1"/>
  <c r="D121" i="10" s="1"/>
  <c r="D122" i="10" s="1"/>
  <c r="D113" i="10" s="1"/>
  <c r="E113" i="10" s="1"/>
  <c r="B43" i="10" l="1"/>
  <c r="L35" i="10"/>
  <c r="N35" i="10" s="1"/>
  <c r="E114" i="10"/>
  <c r="I43" i="10" s="1"/>
  <c r="K43" i="10" l="1"/>
  <c r="L36" i="10"/>
  <c r="N36" i="10" s="1"/>
  <c r="L38" i="10"/>
  <c r="N38" i="10" s="1"/>
  <c r="L37" i="10"/>
  <c r="N37" i="10" s="1"/>
  <c r="D44" i="10"/>
  <c r="P28" i="10"/>
  <c r="D50" i="10"/>
  <c r="D46" i="10" s="1"/>
  <c r="P29" i="10"/>
  <c r="M20" i="10" l="1"/>
  <c r="T21" i="10" s="1"/>
  <c r="T23" i="10" s="1"/>
  <c r="P27" i="10"/>
  <c r="P30" i="10" s="1"/>
  <c r="M55" i="10"/>
  <c r="M54" i="10"/>
  <c r="N41" i="10"/>
  <c r="N42" i="10" s="1"/>
</calcChain>
</file>

<file path=xl/sharedStrings.xml><?xml version="1.0" encoding="utf-8"?>
<sst xmlns="http://schemas.openxmlformats.org/spreadsheetml/2006/main" count="16273" uniqueCount="3705">
  <si>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</si>
  <si>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</si>
  <si>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</si>
  <si>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</si>
  <si>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</si>
  <si>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</si>
  <si>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</si>
  <si>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</si>
  <si>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</si>
  <si>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</si>
  <si>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</si>
  <si>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</si>
  <si>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</si>
  <si>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</si>
  <si>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</si>
  <si>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</si>
  <si>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</si>
  <si>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</si>
  <si>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</si>
  <si>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</si>
  <si>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</si>
  <si>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</si>
  <si>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</si>
  <si>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</si>
  <si>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</si>
  <si>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</si>
  <si>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</si>
  <si>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</si>
  <si>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</si>
  <si>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</si>
  <si>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</si>
  <si>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</si>
  <si>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</si>
  <si>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</si>
  <si>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</si>
  <si>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</si>
  <si>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</si>
  <si>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</si>
  <si>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</si>
  <si>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</si>
  <si>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</si>
  <si>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</si>
  <si>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</si>
  <si>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</si>
  <si>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</si>
  <si>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</si>
  <si>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</si>
  <si>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</si>
  <si>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</si>
  <si>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</si>
  <si>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</si>
  <si>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</si>
  <si>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</si>
  <si>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</si>
  <si>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</si>
  <si>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</si>
  <si>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</si>
  <si>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</si>
  <si>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</si>
  <si>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</si>
  <si>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</si>
  <si>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</si>
  <si>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</si>
  <si>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</si>
  <si>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</si>
  <si>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</si>
  <si>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</si>
  <si>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</si>
  <si>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</si>
  <si>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</si>
  <si>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</si>
  <si>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</si>
  <si>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</si>
  <si>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</si>
  <si>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</si>
  <si>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</si>
  <si>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</si>
  <si>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</si>
  <si>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</si>
  <si>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</si>
  <si>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</si>
  <si>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</si>
  <si>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</si>
  <si>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</si>
  <si>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</si>
  <si>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</si>
  <si>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</si>
  <si>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</si>
  <si>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</si>
  <si>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</si>
  <si>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</si>
  <si>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</si>
  <si>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</si>
  <si>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</si>
  <si>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</si>
  <si>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</si>
  <si>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</si>
  <si>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</si>
  <si>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</si>
  <si>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</si>
  <si>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</si>
  <si>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</si>
  <si>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</si>
  <si>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</si>
  <si>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</si>
  <si>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</si>
  <si>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</si>
  <si>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</si>
  <si>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</si>
  <si>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</si>
  <si>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</si>
  <si>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</si>
  <si>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</si>
  <si>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</si>
  <si>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</si>
  <si>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</si>
  <si>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</si>
  <si>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</si>
  <si>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</si>
  <si>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</si>
  <si>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</si>
  <si>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</si>
  <si>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</si>
  <si>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</si>
  <si>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</si>
  <si>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</si>
  <si>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</si>
  <si>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</si>
  <si>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</si>
  <si>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</si>
  <si>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</si>
  <si>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</si>
  <si>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</si>
  <si>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</si>
  <si>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</si>
  <si>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</si>
  <si>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</si>
  <si>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</si>
  <si>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</si>
  <si>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</si>
  <si>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</si>
  <si>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</si>
  <si>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</si>
  <si>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</si>
  <si>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</si>
  <si>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</si>
  <si>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</si>
  <si>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</si>
  <si>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</si>
  <si>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</si>
  <si>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</si>
  <si>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</si>
  <si>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</si>
  <si>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</si>
  <si>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</si>
  <si>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</si>
  <si>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</si>
  <si>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</si>
  <si>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</si>
  <si>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</si>
  <si>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</si>
  <si>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</si>
  <si>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</si>
  <si>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</si>
  <si>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</si>
  <si>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</si>
  <si>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</si>
  <si>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</si>
  <si>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</si>
  <si>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</si>
  <si>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</si>
  <si>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</si>
  <si>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</si>
  <si>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</si>
  <si>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</si>
  <si>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</si>
  <si>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</si>
  <si>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</si>
  <si>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</si>
  <si>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</si>
  <si>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</si>
  <si>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</si>
  <si>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</si>
  <si>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</si>
  <si>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</si>
  <si>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</si>
  <si>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</si>
  <si>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</si>
  <si>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</si>
  <si>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</si>
  <si>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</si>
  <si>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</si>
  <si>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</si>
  <si>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</si>
  <si>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</si>
  <si>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</si>
  <si>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</si>
  <si>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</si>
  <si>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</si>
  <si>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</si>
  <si>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</si>
  <si>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</si>
  <si>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</si>
  <si>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</si>
  <si>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</si>
  <si>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</si>
  <si>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</si>
  <si>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</si>
  <si>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</si>
  <si>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</si>
  <si>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</si>
  <si>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</si>
  <si>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</si>
  <si>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</si>
  <si>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</si>
  <si>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</si>
  <si>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</si>
  <si>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</si>
  <si>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</si>
  <si>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</si>
  <si>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</si>
  <si>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</si>
  <si>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</si>
  <si>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</si>
  <si>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</si>
  <si>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</si>
  <si>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</si>
  <si>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</si>
  <si>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</si>
  <si>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</si>
  <si>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</si>
  <si>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</si>
  <si>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</si>
  <si>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</si>
  <si>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</si>
  <si>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</si>
  <si>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</si>
  <si>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</si>
  <si>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</si>
  <si>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</si>
  <si>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</si>
  <si>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</si>
  <si>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</si>
  <si>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</si>
  <si>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</si>
  <si>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</si>
  <si>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</si>
  <si>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</si>
  <si>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</si>
  <si>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</si>
  <si>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</si>
  <si>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</si>
  <si>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</si>
  <si>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</si>
  <si>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</si>
  <si>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</si>
  <si>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</si>
  <si>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</si>
  <si>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</si>
  <si>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</si>
  <si>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</si>
  <si>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</si>
  <si>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</si>
  <si>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</si>
  <si>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</si>
  <si>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</si>
  <si>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</si>
  <si>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</si>
  <si>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</si>
  <si>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</si>
  <si>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</si>
  <si>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</si>
  <si>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</si>
  <si>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</si>
  <si>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</si>
  <si>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</si>
  <si>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</si>
  <si>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</si>
  <si>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</si>
  <si>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</si>
  <si>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</si>
  <si>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</si>
  <si>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</si>
  <si>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</si>
  <si>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</si>
  <si>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</si>
  <si>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</si>
  <si>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</si>
  <si>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</si>
  <si>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</si>
  <si>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</si>
  <si>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</si>
  <si>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</si>
  <si>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</si>
  <si>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</si>
  <si>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</si>
  <si>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</si>
  <si>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</si>
  <si>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</si>
  <si>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</si>
  <si>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</si>
  <si>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</si>
  <si>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</si>
  <si>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</si>
  <si>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</si>
  <si>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</si>
  <si>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</si>
  <si>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</si>
  <si>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</si>
  <si>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</si>
  <si>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</si>
  <si>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</si>
  <si>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</si>
  <si>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</si>
  <si>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</si>
  <si>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</si>
  <si>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</si>
  <si>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</si>
  <si>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</si>
  <si>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</si>
  <si>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</si>
  <si>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</si>
  <si>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</si>
  <si>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</si>
  <si>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</si>
  <si>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</si>
  <si>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</si>
  <si>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</si>
  <si>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</si>
  <si>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</si>
  <si>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</si>
  <si>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</si>
  <si>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</si>
  <si>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</si>
  <si>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</si>
  <si>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</si>
  <si>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</si>
  <si>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</si>
  <si>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</si>
  <si>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</si>
  <si>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</si>
  <si>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</si>
  <si>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</si>
  <si>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</si>
  <si>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</si>
  <si>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</si>
  <si>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</si>
  <si>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</si>
  <si>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</si>
  <si>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</si>
  <si>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</si>
  <si>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</si>
  <si>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</si>
  <si>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</si>
  <si>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</si>
  <si>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</si>
  <si>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</si>
  <si>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</si>
  <si>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</si>
  <si>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</si>
  <si>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</si>
  <si>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</si>
  <si>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</si>
  <si>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</si>
  <si>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</si>
  <si>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</si>
  <si>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</si>
  <si>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</si>
  <si>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</si>
  <si>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</si>
  <si>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</si>
  <si>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</si>
  <si>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</si>
  <si>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</si>
  <si>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</si>
  <si>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</si>
  <si>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</si>
  <si>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</si>
  <si>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</si>
  <si>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</si>
  <si>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</si>
  <si>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</si>
  <si>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</si>
  <si>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</si>
  <si>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</si>
  <si>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</si>
  <si>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</si>
  <si>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</si>
  <si>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</si>
  <si>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</si>
  <si>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</si>
  <si>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</si>
  <si>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</si>
  <si>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</si>
  <si>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</si>
  <si>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</si>
  <si>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</si>
  <si>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</si>
  <si>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</si>
  <si>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</si>
  <si>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</si>
  <si>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</si>
  <si>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</si>
  <si>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</si>
  <si>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</si>
  <si>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</si>
  <si>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</si>
  <si>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</si>
  <si>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</si>
  <si>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</si>
  <si>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</si>
  <si>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</si>
  <si>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</si>
  <si>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</si>
  <si>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</si>
  <si>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</si>
  <si>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</si>
  <si>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</si>
  <si>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</si>
  <si>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</si>
  <si>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</si>
  <si>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</si>
  <si>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</si>
  <si>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</si>
  <si>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</si>
  <si>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</si>
  <si>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</si>
  <si>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</si>
  <si>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</si>
  <si>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</si>
  <si>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</si>
  <si>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</si>
  <si>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</si>
  <si>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</si>
  <si>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</si>
  <si>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</si>
  <si>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</si>
  <si>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</si>
  <si>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</si>
  <si>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</si>
  <si>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</si>
  <si>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</si>
  <si>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</si>
  <si>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</si>
  <si>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</si>
  <si>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</si>
  <si>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</si>
  <si>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</si>
  <si>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</si>
  <si>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</si>
  <si>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</si>
  <si>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</si>
  <si>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</si>
  <si>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</si>
  <si>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</si>
  <si>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</si>
  <si>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</si>
  <si>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</si>
  <si>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</si>
  <si>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</si>
  <si>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</si>
  <si>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</si>
  <si>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</si>
  <si>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</si>
  <si>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</si>
  <si>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</si>
  <si>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</si>
  <si>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</si>
  <si>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</si>
  <si>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</si>
  <si>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</si>
  <si>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</si>
  <si>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</si>
  <si>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</si>
  <si>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</si>
  <si>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</si>
  <si>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</si>
  <si>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</si>
  <si>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</si>
  <si>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</si>
  <si>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</si>
  <si>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</si>
  <si>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</si>
  <si>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</si>
  <si>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</si>
  <si>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</si>
  <si>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</si>
  <si>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</si>
  <si>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</si>
  <si>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</si>
  <si>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</si>
  <si>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</si>
  <si>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</si>
  <si>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</si>
  <si>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</si>
  <si>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</si>
  <si>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</si>
  <si>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</si>
  <si>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</si>
  <si>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</si>
  <si>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</si>
  <si>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</si>
  <si>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</si>
  <si>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</si>
  <si>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</si>
  <si>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</si>
  <si>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</si>
  <si>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</si>
  <si>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</si>
  <si>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</si>
  <si>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</si>
  <si>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</si>
  <si>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</si>
  <si>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</si>
  <si>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</si>
  <si>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</si>
  <si>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</si>
  <si>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</si>
  <si>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</si>
  <si>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</si>
  <si>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</si>
  <si>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</si>
  <si>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</si>
  <si>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</si>
  <si>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</si>
  <si>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</si>
  <si>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</si>
  <si>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</si>
  <si>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</si>
  <si>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</si>
  <si>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</si>
  <si>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</si>
  <si>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</si>
  <si>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</si>
  <si>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</si>
  <si>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</si>
  <si>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</si>
  <si>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</si>
  <si>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</si>
  <si>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</si>
  <si>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</si>
  <si>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</si>
  <si>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</si>
  <si>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</si>
  <si>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</si>
  <si>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</si>
  <si>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</si>
  <si>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</si>
  <si>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</si>
  <si>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</si>
  <si>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</si>
  <si>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</si>
  <si>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</si>
  <si>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</si>
  <si>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</si>
  <si>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</si>
  <si>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</si>
  <si>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</si>
  <si>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</si>
  <si>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</si>
  <si>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</si>
  <si>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</si>
  <si>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</si>
  <si>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</si>
  <si>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</si>
  <si>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</si>
  <si>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</si>
  <si>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</si>
  <si>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</si>
  <si>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</si>
  <si>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</si>
  <si>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</si>
  <si>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</si>
  <si>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</si>
  <si>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</si>
  <si>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</si>
  <si>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</si>
  <si>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</si>
  <si>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</si>
  <si>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</si>
  <si>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</si>
  <si>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</si>
  <si>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</si>
  <si>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</si>
  <si>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</si>
  <si>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</si>
  <si>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</si>
  <si>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</si>
  <si>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</si>
  <si>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</si>
  <si>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</si>
  <si>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</si>
  <si>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</si>
  <si>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</si>
  <si>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</si>
  <si>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</si>
  <si>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</si>
  <si>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</si>
  <si>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</si>
  <si>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</si>
  <si>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</si>
  <si>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</si>
  <si>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</si>
  <si>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</si>
  <si>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</si>
  <si>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</si>
  <si>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</si>
  <si>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</si>
  <si>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</si>
  <si>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</si>
  <si>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</si>
  <si>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</si>
  <si>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</si>
  <si>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</si>
  <si>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</si>
  <si>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</si>
  <si>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</si>
  <si>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</si>
  <si>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</si>
  <si>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</si>
  <si>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</si>
  <si>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</si>
  <si>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</si>
  <si>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</si>
  <si>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</si>
  <si>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</si>
  <si>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</si>
  <si>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</si>
  <si>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</si>
  <si>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</si>
  <si>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</si>
  <si>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</si>
  <si>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</si>
  <si>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</si>
  <si>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</si>
  <si>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</si>
  <si>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</si>
  <si>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</si>
  <si>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</si>
  <si>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</si>
  <si>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</si>
  <si>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</si>
  <si>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</si>
  <si>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</si>
  <si>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</si>
  <si>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</si>
  <si>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</si>
  <si>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</si>
  <si>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</si>
  <si>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</si>
  <si>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</si>
  <si>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</si>
  <si>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</si>
  <si>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</si>
  <si>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</si>
  <si>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</si>
  <si>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</si>
  <si>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</si>
  <si>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</si>
  <si>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</si>
  <si>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</si>
  <si>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</si>
  <si>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</si>
  <si>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</si>
  <si>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</si>
  <si>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</si>
  <si>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</si>
  <si>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</si>
  <si>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</si>
  <si>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</si>
  <si>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</si>
  <si>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</si>
  <si>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</si>
  <si>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</si>
  <si>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</si>
  <si>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</si>
  <si>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</si>
  <si>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</si>
  <si>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</si>
  <si>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</si>
  <si>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</si>
  <si>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</si>
  <si>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</si>
  <si>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</si>
  <si>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</si>
  <si>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</si>
  <si>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</si>
  <si>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</si>
  <si>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</si>
  <si>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</si>
  <si>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</si>
  <si>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</si>
  <si>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</si>
  <si>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</si>
  <si>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</si>
  <si>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</si>
  <si>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</si>
  <si>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</si>
  <si>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</si>
  <si>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</si>
  <si>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</si>
  <si>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</si>
  <si>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</si>
  <si>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</si>
  <si>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</si>
  <si>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</si>
  <si>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</si>
  <si>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</si>
  <si>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</si>
  <si>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</si>
  <si>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</si>
  <si>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</si>
  <si>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</si>
  <si>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</si>
  <si>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</si>
  <si>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</si>
  <si>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</si>
  <si>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</si>
  <si>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</si>
  <si>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</si>
  <si>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</si>
  <si>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</si>
  <si>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</si>
  <si>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</si>
  <si>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</si>
  <si>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</si>
  <si>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</si>
  <si>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</si>
  <si>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</si>
  <si>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</si>
  <si>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</si>
  <si>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</si>
  <si>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</si>
  <si>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</si>
  <si>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</si>
  <si>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</si>
  <si>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</si>
  <si>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</si>
  <si>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</si>
  <si>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</si>
  <si>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</si>
  <si>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</si>
  <si>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</si>
  <si>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</si>
  <si>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</si>
  <si>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</si>
  <si>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</si>
  <si>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</si>
  <si>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</si>
  <si>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</si>
  <si>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</si>
  <si>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</si>
  <si>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</si>
  <si>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</si>
  <si>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</si>
  <si>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</si>
  <si>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</si>
  <si>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</si>
  <si>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</si>
  <si>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</si>
  <si>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</si>
  <si>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</si>
  <si>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</si>
  <si>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</si>
  <si>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</si>
  <si>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</si>
  <si>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</si>
  <si>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</si>
  <si>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</si>
  <si>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</si>
  <si>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</si>
  <si>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</si>
  <si>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</si>
  <si>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</si>
  <si>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</si>
  <si>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</si>
  <si>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</si>
  <si>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</si>
  <si>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</si>
  <si>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</si>
  <si>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</si>
  <si>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</si>
  <si>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</si>
  <si>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</si>
  <si>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</si>
  <si>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</si>
  <si>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</si>
  <si>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</si>
  <si>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</si>
  <si>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</si>
  <si>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</si>
  <si>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</si>
  <si>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</si>
  <si>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</si>
  <si>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</si>
  <si>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</si>
  <si>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</si>
  <si>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</si>
  <si>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</si>
  <si>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</si>
  <si>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</si>
  <si>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</si>
  <si>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</si>
  <si>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</si>
  <si>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</si>
  <si>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</si>
  <si>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</si>
  <si>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</si>
  <si>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</si>
  <si>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</si>
  <si>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</si>
  <si>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</si>
  <si>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</si>
  <si>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</si>
  <si>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</si>
  <si>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</si>
  <si>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</si>
  <si>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</si>
  <si>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</si>
  <si>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</si>
  <si>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</si>
  <si>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</si>
  <si>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</si>
  <si>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</si>
  <si>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</si>
  <si>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</si>
  <si>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</si>
  <si>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</si>
  <si>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</si>
  <si>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</si>
  <si>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</si>
  <si>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</si>
  <si>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</si>
  <si>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</si>
  <si>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</si>
  <si>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</si>
  <si>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</si>
  <si>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</si>
  <si>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</si>
  <si>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</si>
  <si>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</si>
  <si>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</si>
  <si>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</si>
  <si>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</si>
  <si>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</si>
  <si>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</si>
  <si>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</si>
  <si>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</si>
  <si>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</si>
  <si>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</si>
  <si>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</si>
  <si>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</si>
  <si>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</si>
  <si>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</si>
  <si>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</si>
  <si>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</si>
  <si>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</si>
  <si>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</si>
  <si>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</si>
  <si>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</si>
  <si>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</si>
  <si>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</si>
  <si>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</si>
  <si>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</si>
  <si>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</si>
  <si>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</si>
  <si>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</si>
  <si>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</si>
  <si>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</si>
  <si>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</si>
  <si>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</si>
  <si>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</si>
  <si>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</si>
  <si>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</si>
  <si>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</si>
  <si>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</si>
  <si>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</si>
  <si>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</si>
  <si>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</si>
  <si>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</si>
  <si>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</si>
  <si>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</si>
  <si>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</si>
  <si>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</si>
  <si>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</si>
  <si>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</si>
  <si>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</si>
  <si>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</si>
  <si>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</si>
  <si>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</si>
  <si>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</si>
  <si>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</si>
  <si>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</si>
  <si>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</si>
  <si>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</si>
  <si>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</si>
  <si>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</si>
  <si>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</si>
  <si>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</si>
  <si>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</si>
  <si>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</si>
  <si>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</si>
  <si>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</si>
  <si>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</si>
  <si>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</si>
  <si>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</si>
  <si>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</si>
  <si>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</si>
  <si>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</si>
  <si>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</si>
  <si>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</si>
  <si>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</si>
  <si>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</si>
  <si>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</si>
  <si>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</si>
  <si>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</si>
  <si>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</si>
  <si>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</si>
  <si>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</si>
  <si>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</si>
  <si>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</si>
  <si>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</si>
  <si>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</si>
  <si>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</si>
  <si>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</si>
  <si>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</si>
  <si>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</si>
  <si>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</si>
  <si>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</si>
  <si>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</si>
  <si>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</si>
  <si>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</si>
  <si>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</si>
  <si>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</si>
  <si>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</si>
  <si>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</si>
  <si>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</si>
  <si>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</si>
  <si>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</si>
  <si>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</si>
  <si>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</si>
  <si>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</si>
  <si>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</si>
  <si>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</si>
  <si>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</si>
  <si>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</si>
  <si>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</si>
  <si>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</si>
  <si>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</si>
  <si>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</si>
  <si>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</si>
  <si>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</si>
  <si>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</si>
  <si>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</si>
  <si>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</si>
  <si>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</si>
  <si>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</si>
  <si>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</si>
  <si>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</si>
  <si>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</si>
  <si>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</si>
  <si>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</si>
  <si>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</si>
  <si>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</si>
  <si>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</si>
  <si>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</si>
  <si>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</si>
  <si>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</si>
  <si>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</si>
  <si>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</si>
  <si>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</si>
  <si>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</si>
  <si>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</si>
  <si>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</si>
  <si>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</si>
  <si>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</si>
  <si>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</si>
  <si>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</si>
  <si>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</si>
  <si>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</si>
  <si>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</si>
  <si>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</si>
  <si>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</si>
  <si>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</si>
  <si>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</si>
  <si>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</si>
  <si>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</si>
  <si>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</si>
  <si>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</si>
  <si>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</si>
  <si>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</si>
  <si>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</si>
  <si>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</si>
  <si>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</si>
  <si>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</si>
  <si>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</si>
  <si>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</si>
  <si>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</si>
  <si>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</si>
  <si>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</si>
  <si>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</si>
  <si>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</si>
  <si>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</si>
  <si>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</si>
  <si>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</si>
  <si>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</si>
  <si>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</si>
  <si>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</si>
  <si>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</si>
  <si>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</si>
  <si>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</si>
  <si>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</si>
  <si>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</si>
  <si>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</si>
  <si>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</si>
  <si>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</si>
  <si>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</si>
  <si>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</si>
  <si>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</si>
  <si>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</si>
  <si>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</si>
  <si>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</si>
  <si>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</si>
  <si>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</si>
  <si>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</si>
  <si>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</si>
  <si>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</si>
  <si>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</si>
  <si>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</si>
  <si>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</si>
  <si>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</si>
  <si>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</si>
  <si>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</si>
  <si>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</si>
  <si>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</si>
  <si>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</si>
  <si>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</si>
  <si>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</si>
  <si>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</si>
  <si>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</si>
  <si>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</si>
  <si>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</si>
  <si>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</si>
  <si>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</si>
  <si>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</si>
  <si>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</si>
  <si>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</si>
  <si>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</si>
  <si>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</si>
  <si>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</si>
  <si>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</si>
  <si>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</si>
  <si>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</si>
  <si>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</si>
  <si>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</si>
  <si>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</si>
  <si>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</si>
  <si>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</si>
  <si>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</si>
  <si>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</si>
  <si>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</si>
  <si>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</si>
  <si>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</si>
  <si>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</si>
  <si>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</si>
  <si>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</si>
  <si>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</si>
  <si>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</si>
  <si>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</si>
  <si>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</si>
  <si>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</si>
  <si>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</si>
  <si>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</si>
  <si>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</si>
  <si>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</si>
  <si>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</si>
  <si>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</si>
  <si>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</si>
  <si>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</si>
  <si>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</si>
  <si>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</si>
  <si>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</si>
  <si>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</si>
  <si>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</si>
  <si>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</si>
  <si>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</si>
  <si>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</si>
  <si>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</si>
  <si>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</si>
  <si>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</si>
  <si>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</si>
  <si>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</si>
  <si>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</si>
  <si>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</si>
  <si>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</si>
  <si>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</si>
  <si>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</si>
  <si>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</si>
  <si>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</si>
  <si>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</si>
  <si>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</si>
  <si>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</si>
  <si>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</si>
  <si>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</si>
  <si>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</si>
  <si>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</si>
  <si>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</si>
  <si>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</si>
  <si>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</si>
  <si>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</si>
  <si>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</si>
  <si>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</si>
  <si>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</si>
  <si>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</si>
  <si>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</si>
  <si>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</si>
  <si>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</si>
  <si>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</si>
  <si>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</si>
  <si>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</si>
  <si>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</si>
  <si>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</si>
  <si>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</si>
  <si>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</si>
  <si>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</si>
  <si>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</si>
  <si>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</si>
  <si>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</si>
  <si>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</si>
  <si>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</si>
  <si>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</si>
  <si>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</si>
  <si>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</si>
  <si>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</si>
  <si>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</si>
  <si>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</si>
  <si>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</si>
  <si>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</si>
  <si>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</si>
  <si>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</si>
  <si>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</si>
  <si>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</si>
  <si>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</si>
  <si>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</si>
  <si>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</si>
  <si>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</si>
  <si>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</si>
  <si>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</si>
  <si>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</si>
  <si>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</si>
  <si>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</si>
  <si>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</si>
  <si>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</si>
  <si>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</si>
  <si>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</si>
  <si>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</si>
  <si>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</si>
  <si>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</si>
  <si>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</si>
  <si>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</si>
  <si>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</si>
  <si>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</si>
  <si>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</si>
  <si>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</si>
  <si>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</si>
  <si>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</si>
  <si>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</si>
  <si>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</si>
  <si>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</si>
  <si>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</si>
  <si>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</si>
  <si>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</si>
  <si>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</si>
  <si>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</si>
  <si>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</si>
  <si>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</si>
  <si>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</si>
  <si>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</si>
  <si>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</si>
  <si>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</si>
  <si>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</si>
  <si>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</si>
  <si>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</si>
  <si>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</si>
  <si>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</si>
  <si>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</si>
  <si>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</si>
  <si>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</si>
  <si>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</si>
  <si>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</si>
  <si>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</si>
  <si>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</si>
  <si>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</si>
  <si>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</si>
  <si>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</si>
  <si>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</si>
  <si>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</si>
  <si>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</si>
  <si>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</si>
  <si>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</si>
  <si>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</si>
  <si>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</si>
  <si>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</si>
  <si>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</si>
  <si>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</si>
  <si>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</si>
  <si>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</si>
  <si>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</si>
  <si>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</si>
  <si>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</si>
  <si>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</si>
  <si>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</si>
  <si>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</si>
  <si>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</si>
  <si>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</si>
  <si>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</si>
  <si>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</si>
  <si>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</si>
  <si>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</si>
  <si>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</si>
  <si>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</si>
  <si>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</si>
  <si>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</si>
  <si>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</si>
  <si>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</si>
  <si>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</si>
  <si>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</si>
  <si>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</si>
  <si>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</si>
  <si>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</si>
  <si>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</si>
  <si>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</si>
  <si>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</si>
  <si>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</si>
  <si>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</si>
  <si>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</si>
  <si>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</si>
  <si>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</si>
  <si>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</si>
  <si>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</si>
  <si>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</si>
  <si>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</si>
  <si>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</si>
  <si>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</si>
  <si>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</si>
  <si>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</si>
  <si>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</si>
  <si>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</si>
  <si>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</si>
  <si>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</si>
  <si>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</si>
  <si>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</si>
  <si>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</si>
  <si>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</si>
  <si>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</si>
  <si>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</si>
  <si>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</si>
  <si>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</si>
  <si>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</si>
  <si>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</si>
  <si>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</si>
  <si>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</si>
  <si>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</si>
  <si>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</si>
  <si>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</si>
  <si>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</si>
  <si>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</si>
  <si>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</si>
  <si>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</si>
  <si>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</si>
  <si>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</si>
  <si>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</si>
  <si>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</si>
  <si>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</si>
  <si>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</si>
  <si>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</si>
  <si>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</si>
  <si>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</si>
  <si>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</si>
  <si>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</si>
  <si>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</si>
  <si>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</si>
  <si>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</si>
  <si>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</si>
  <si>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</si>
  <si>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</si>
  <si>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</si>
  <si>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</si>
  <si>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</si>
  <si>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</si>
  <si>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</si>
  <si>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</si>
  <si>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</si>
  <si>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</si>
  <si>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</si>
  <si>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</si>
  <si>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</si>
  <si>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</si>
  <si>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</si>
  <si>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</si>
  <si>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</si>
  <si>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</si>
  <si>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</si>
  <si>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</si>
  <si>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</si>
  <si>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</si>
  <si>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</si>
  <si>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</si>
  <si>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</si>
  <si>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</si>
  <si>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</si>
  <si>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</si>
  <si>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</si>
  <si>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</si>
  <si>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</si>
  <si>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</si>
  <si>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</si>
  <si>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</si>
  <si>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</si>
  <si>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</si>
  <si>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</si>
  <si>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</si>
  <si>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</si>
  <si>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</si>
  <si>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</si>
  <si>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</si>
  <si>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</si>
  <si>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</si>
  <si>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</si>
  <si>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</si>
  <si>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</si>
  <si>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</si>
  <si>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</si>
  <si>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</si>
  <si>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</si>
  <si>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</si>
  <si>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</si>
  <si>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</si>
  <si>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</si>
  <si>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</si>
  <si>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</si>
  <si>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</si>
  <si>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</si>
  <si>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</si>
  <si>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</si>
  <si>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</si>
  <si>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</si>
  <si>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</si>
  <si>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</si>
  <si>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</si>
  <si>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</si>
  <si>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</si>
  <si>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</si>
  <si>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</si>
  <si>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</si>
  <si>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</si>
  <si>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</si>
  <si>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</si>
  <si>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</si>
  <si>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</si>
  <si>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</si>
  <si>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</si>
  <si>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</si>
  <si>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</si>
  <si>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</si>
  <si>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</si>
  <si>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</si>
  <si>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</si>
  <si>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</si>
  <si>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</si>
  <si>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</si>
  <si>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</si>
  <si>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</si>
  <si>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</si>
  <si>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</si>
  <si>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</si>
  <si>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</si>
  <si>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</si>
  <si>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</si>
  <si>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</si>
  <si>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</si>
  <si>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</si>
  <si>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</si>
  <si>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</si>
  <si>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</si>
  <si>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</si>
  <si>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</si>
  <si>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</si>
  <si>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</si>
  <si>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</si>
  <si>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</si>
  <si>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</si>
  <si>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</si>
  <si>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</si>
  <si>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</si>
  <si>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</si>
  <si>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</si>
  <si>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</si>
  <si>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</si>
  <si>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</si>
  <si>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</si>
  <si>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</si>
  <si>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</si>
  <si>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</si>
  <si>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</si>
  <si>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</si>
  <si>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</si>
  <si>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</si>
  <si>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</si>
  <si>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</si>
  <si>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</si>
  <si>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</si>
  <si>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</si>
  <si>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</si>
  <si>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</si>
  <si>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</si>
  <si>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</si>
  <si>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</si>
  <si>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</si>
  <si>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</si>
  <si>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</si>
  <si>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</si>
  <si>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</si>
  <si>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</si>
  <si>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</si>
  <si>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</si>
  <si>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</si>
  <si>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</si>
  <si>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</si>
  <si>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</si>
  <si>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</si>
  <si>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</si>
  <si>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</si>
  <si>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</si>
  <si>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</si>
  <si>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</si>
  <si>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</si>
  <si>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</si>
  <si>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</si>
  <si>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</si>
  <si>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</si>
  <si>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</si>
  <si>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</si>
  <si>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</si>
  <si>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</si>
  <si>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</si>
  <si>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</si>
  <si>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</si>
  <si>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</si>
  <si>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</si>
  <si>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</si>
  <si>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</si>
  <si>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</si>
  <si>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</si>
  <si>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</si>
  <si>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</si>
  <si>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</si>
  <si>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</si>
  <si>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</si>
  <si>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</si>
  <si>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</si>
  <si>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</si>
  <si>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</si>
  <si>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</si>
  <si>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</si>
  <si>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</si>
  <si>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</si>
  <si>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</si>
  <si>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</si>
  <si>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</si>
  <si>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</si>
  <si>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</si>
  <si>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</si>
  <si>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</si>
  <si>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</si>
  <si>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</si>
  <si>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</si>
  <si>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</si>
  <si>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</si>
  <si>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</si>
  <si>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</si>
  <si>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</si>
  <si>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</si>
  <si>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</si>
  <si>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</si>
  <si>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</si>
  <si>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</si>
  <si>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</si>
  <si>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</si>
  <si>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</si>
  <si>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</si>
  <si>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</si>
  <si>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</si>
  <si>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</si>
  <si>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</si>
  <si>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</si>
  <si>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</si>
  <si>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</si>
  <si>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</si>
  <si>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</si>
  <si>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</si>
  <si>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</si>
  <si>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</si>
  <si>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</si>
  <si>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</si>
  <si>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</si>
  <si>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</si>
  <si>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</si>
  <si>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</si>
  <si>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</si>
  <si>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</si>
  <si>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</si>
  <si>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</si>
  <si>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</si>
  <si>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</si>
  <si>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</si>
  <si>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</si>
  <si>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</si>
  <si>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</si>
  <si>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</si>
  <si>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</si>
  <si>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</si>
  <si>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</si>
  <si>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</si>
  <si>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</si>
  <si>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</si>
  <si>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</si>
  <si>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</si>
  <si>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</si>
  <si>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</si>
  <si>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</si>
  <si>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</si>
  <si>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</si>
  <si>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</si>
  <si>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</si>
  <si>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</si>
  <si>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</si>
  <si>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</si>
  <si>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</si>
  <si>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</si>
  <si>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</si>
  <si>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</si>
  <si>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</si>
  <si>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</si>
  <si>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</si>
  <si>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</si>
  <si>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</si>
  <si>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</si>
  <si>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</si>
  <si>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</si>
  <si>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</si>
  <si>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</si>
  <si>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</si>
  <si>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</si>
  <si>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</si>
  <si>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</si>
  <si>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</si>
  <si>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</si>
  <si>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</si>
  <si>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</si>
  <si>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</si>
  <si>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</si>
  <si>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</si>
  <si>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</si>
  <si>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</si>
  <si>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</si>
  <si>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</si>
  <si>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</si>
  <si>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</si>
  <si>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</si>
  <si>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</si>
  <si>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</si>
  <si>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</si>
  <si>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</si>
  <si>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</si>
  <si>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</si>
  <si>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</si>
  <si>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</si>
  <si>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</si>
  <si>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</si>
  <si>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</si>
  <si>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</si>
  <si>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</si>
  <si>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</si>
  <si>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</si>
  <si>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</si>
  <si>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</si>
  <si>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</si>
  <si>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</si>
  <si>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</si>
  <si>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</si>
  <si>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</si>
  <si>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</si>
  <si>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</si>
  <si>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</si>
  <si>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</si>
  <si>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</si>
  <si>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</si>
  <si>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</si>
  <si>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</si>
  <si>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</si>
  <si>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</si>
  <si>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</si>
  <si>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</si>
  <si>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</si>
  <si>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</si>
  <si>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</si>
  <si>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</si>
  <si>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</si>
  <si>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</si>
  <si>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</si>
  <si>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</si>
  <si>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</si>
  <si>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</si>
  <si>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</si>
  <si>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</si>
  <si>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</si>
  <si>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</si>
  <si>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</si>
  <si>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</si>
  <si>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</si>
  <si>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</si>
  <si>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</si>
  <si>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</si>
  <si>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</si>
  <si>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</si>
  <si>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</si>
  <si>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</si>
  <si>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</si>
  <si>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</si>
  <si>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</si>
  <si>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</si>
  <si>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</si>
  <si>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</si>
  <si>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</si>
  <si>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</si>
  <si>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</si>
  <si>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</si>
  <si>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</si>
  <si>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</si>
  <si>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</si>
  <si>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</si>
  <si>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</si>
  <si>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</si>
  <si>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</si>
  <si>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</si>
  <si>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</si>
  <si>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</si>
  <si>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</si>
  <si>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</si>
  <si>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</si>
  <si>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</si>
  <si>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</si>
  <si>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</si>
  <si>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</si>
  <si>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</si>
  <si>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</si>
  <si>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</si>
  <si>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</si>
  <si>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</si>
  <si>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</si>
  <si>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</si>
  <si>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</si>
  <si>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</si>
  <si>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</si>
  <si>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</si>
  <si>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</si>
  <si>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</si>
  <si>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</si>
  <si>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</si>
  <si>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</si>
  <si>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</si>
  <si>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</si>
  <si>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</si>
  <si>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</si>
  <si>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</si>
  <si>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</si>
  <si>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</si>
  <si>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</si>
  <si>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</si>
  <si>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</si>
  <si>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</si>
  <si>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</si>
  <si>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</si>
  <si>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</si>
  <si>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</si>
  <si>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</si>
  <si>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</si>
  <si>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</si>
  <si>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</si>
  <si>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</si>
  <si>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</si>
  <si>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</si>
  <si>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</si>
  <si>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</si>
  <si>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</si>
  <si>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</si>
  <si>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</si>
  <si>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</si>
  <si>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</si>
  <si>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</si>
  <si>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</si>
  <si>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</si>
  <si>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</si>
  <si>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</si>
  <si>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</si>
  <si>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</si>
  <si>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</si>
  <si>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</si>
  <si>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</si>
  <si>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</si>
  <si>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</si>
  <si>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</si>
  <si>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</si>
  <si>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</si>
  <si>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</si>
  <si>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</si>
  <si>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</si>
  <si>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</si>
  <si>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</si>
  <si>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</si>
  <si>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</si>
  <si>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</si>
  <si>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</si>
  <si>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</si>
  <si>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</si>
  <si>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</si>
  <si>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</si>
  <si>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</si>
  <si>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</si>
  <si>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</si>
  <si>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</si>
  <si>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</si>
  <si>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</si>
  <si>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</si>
  <si>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</si>
  <si>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</si>
  <si>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</si>
  <si>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</si>
  <si>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</si>
  <si>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</si>
  <si>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</si>
  <si>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</si>
  <si>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</si>
  <si>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</si>
  <si>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</si>
  <si>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</si>
  <si>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</si>
  <si>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</si>
  <si>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</si>
  <si>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</si>
  <si>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</si>
  <si>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</si>
  <si>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</si>
  <si>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</si>
  <si>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</si>
  <si>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</si>
  <si>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</si>
  <si>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</si>
  <si>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</si>
  <si>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</si>
  <si>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</si>
  <si>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</si>
  <si>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</si>
  <si>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</si>
  <si>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</si>
  <si>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</si>
  <si>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</si>
  <si>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</si>
  <si>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</si>
  <si>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</si>
  <si>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</si>
  <si>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</si>
  <si>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</si>
  <si>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</si>
  <si>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</si>
  <si>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</si>
  <si>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</si>
  <si>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</si>
  <si>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</si>
  <si>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</si>
  <si>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</si>
  <si>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</si>
  <si>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</si>
  <si>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</si>
  <si>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</si>
  <si>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</si>
  <si>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</si>
  <si>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</si>
  <si>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</si>
  <si>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</si>
  <si>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</si>
  <si>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</si>
  <si>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</si>
  <si>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</si>
  <si>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</si>
  <si>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</si>
  <si>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</si>
  <si>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</si>
  <si>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</si>
  <si>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</si>
  <si>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</si>
  <si>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</si>
  <si>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</si>
  <si>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</si>
  <si>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</si>
  <si>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</si>
  <si>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</si>
  <si>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</si>
  <si>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</si>
  <si>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</si>
  <si>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</si>
  <si>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</si>
  <si>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</si>
  <si>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</si>
  <si>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</si>
  <si>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</si>
  <si>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</si>
  <si>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</si>
  <si>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</si>
  <si>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</si>
  <si>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</si>
  <si>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</si>
  <si>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</si>
  <si>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</si>
  <si>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</si>
  <si>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</si>
  <si>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</si>
  <si>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</si>
  <si>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</si>
  <si>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</si>
  <si>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</si>
  <si>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</si>
  <si>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</si>
  <si>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</si>
  <si>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</si>
  <si>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</si>
  <si>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</si>
  <si>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</si>
  <si>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</si>
  <si>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</si>
  <si>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</si>
  <si>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</si>
  <si>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</si>
  <si>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</si>
  <si>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</si>
  <si>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</si>
  <si>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</si>
  <si>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</si>
  <si>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</si>
  <si>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</si>
  <si>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</si>
  <si>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</si>
  <si>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</si>
  <si>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</si>
  <si>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</si>
  <si>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</si>
  <si>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</si>
  <si>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</si>
  <si>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</si>
  <si>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</si>
  <si>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</si>
  <si>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</si>
  <si>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</si>
  <si>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</si>
  <si>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</si>
  <si>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</si>
  <si>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</si>
  <si>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</si>
  <si>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</si>
  <si>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</si>
  <si>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</si>
  <si>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</si>
  <si>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</si>
  <si>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</si>
  <si>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</si>
  <si>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</si>
  <si>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</si>
  <si>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</si>
  <si>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</si>
  <si>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</si>
  <si>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</si>
  <si>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</si>
  <si>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</si>
  <si>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</si>
  <si>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</si>
  <si>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</si>
  <si>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</si>
  <si>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</si>
  <si>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</si>
  <si>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</si>
  <si>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</si>
  <si>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</si>
  <si>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</si>
  <si>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</si>
  <si>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</si>
  <si>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</si>
  <si>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</si>
  <si>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</si>
  <si>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</si>
  <si>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</si>
  <si>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</si>
  <si>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</si>
  <si>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</si>
  <si>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</si>
  <si>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</si>
  <si>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</si>
  <si>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</si>
  <si>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</si>
  <si>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</si>
  <si>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</si>
  <si>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</si>
  <si>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</si>
  <si>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</si>
  <si>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</si>
  <si>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</si>
  <si>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</si>
  <si>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</si>
  <si>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</si>
  <si>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</si>
  <si>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</si>
  <si>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</si>
  <si>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</si>
  <si>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</si>
  <si>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</si>
  <si>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</si>
  <si>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</si>
  <si>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</si>
  <si>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</si>
  <si>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</si>
  <si>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</si>
  <si>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</si>
  <si>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</si>
  <si>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</si>
  <si>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</si>
  <si>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</si>
  <si>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</si>
  <si>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</si>
  <si>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</si>
  <si>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</si>
  <si>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</si>
  <si>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</si>
  <si>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</si>
  <si>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</si>
  <si>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</si>
  <si>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</si>
  <si>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</si>
  <si>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</si>
  <si>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</si>
  <si>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</si>
  <si>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</si>
  <si>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</si>
  <si>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</si>
  <si>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</si>
  <si>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</si>
  <si>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</si>
  <si>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</si>
  <si>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</si>
  <si>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</si>
  <si>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</si>
  <si>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</si>
  <si>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</si>
  <si>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</si>
  <si>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</si>
  <si>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</si>
  <si>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</si>
  <si>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</si>
  <si>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</si>
  <si>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</si>
  <si>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</si>
  <si>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</si>
  <si>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</si>
  <si>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</si>
  <si>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</si>
  <si>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</si>
  <si>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</si>
  <si>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</si>
  <si>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</si>
  <si>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</si>
  <si>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</si>
  <si>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</si>
  <si>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</si>
  <si>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</si>
  <si>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</si>
  <si>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</si>
  <si>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</si>
  <si>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</si>
  <si>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</si>
  <si>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</si>
  <si>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</si>
  <si>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</si>
  <si>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</si>
  <si>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</si>
  <si>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</si>
  <si>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</si>
  <si>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</si>
  <si>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</si>
  <si>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</si>
  <si>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</si>
  <si>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</si>
  <si>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</si>
  <si>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</si>
  <si>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</si>
  <si>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</si>
  <si>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</si>
  <si>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</si>
  <si>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</si>
  <si>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</si>
  <si>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</si>
  <si>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</si>
  <si>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</si>
  <si>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</si>
  <si>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</si>
  <si>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</si>
  <si>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</si>
  <si>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</si>
  <si>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</si>
  <si>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</si>
  <si>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</si>
  <si>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</si>
  <si>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</si>
  <si>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</si>
  <si>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</si>
  <si>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</si>
  <si>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</si>
  <si>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</si>
  <si>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</si>
  <si>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</si>
  <si>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</si>
  <si>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</si>
  <si>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</si>
  <si>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</si>
  <si>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</si>
  <si>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</si>
  <si>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</si>
  <si>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</si>
  <si>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</si>
  <si>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</si>
  <si>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</si>
  <si>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</si>
  <si>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</si>
  <si>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</si>
  <si>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</si>
  <si>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</si>
  <si>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</si>
  <si>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</si>
  <si>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</si>
  <si>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</si>
  <si>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</si>
  <si>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</si>
  <si>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</si>
  <si>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</si>
  <si>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</si>
  <si>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</si>
  <si>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</si>
  <si>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</si>
  <si>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</si>
  <si>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</si>
  <si>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</si>
  <si>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</si>
  <si>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</si>
  <si>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</si>
  <si>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</si>
  <si>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</si>
  <si>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</si>
  <si>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</si>
  <si>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</si>
  <si>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</si>
  <si>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</si>
  <si>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</si>
  <si>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</si>
  <si>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</si>
  <si>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</si>
  <si>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</si>
  <si>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</si>
  <si>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</si>
  <si>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</si>
  <si>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</si>
  <si>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</si>
  <si>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</si>
  <si>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</si>
  <si>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</si>
  <si>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</si>
  <si>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</si>
  <si>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</si>
  <si>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</si>
  <si>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</si>
  <si>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</si>
  <si>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</si>
  <si>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</si>
  <si>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</si>
  <si>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</si>
  <si>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</si>
  <si>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</si>
  <si>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</si>
  <si>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</si>
  <si>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</si>
  <si>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</si>
  <si>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</si>
  <si>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</si>
  <si>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</si>
  <si>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</si>
  <si>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</si>
  <si>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</si>
  <si>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</si>
  <si>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</si>
  <si>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</si>
  <si>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</si>
  <si>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</si>
  <si>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</si>
  <si>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</si>
  <si>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</si>
  <si>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</si>
  <si>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</si>
  <si>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</si>
  <si>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</si>
  <si>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</si>
  <si>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</si>
  <si>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</si>
  <si>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</si>
  <si>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</si>
  <si>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</si>
  <si>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</si>
  <si>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</si>
  <si>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</si>
  <si>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</si>
  <si>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</si>
  <si>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</si>
  <si>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</si>
  <si>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</si>
  <si>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</si>
  <si>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</si>
  <si>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</si>
  <si>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</si>
  <si>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</si>
  <si>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</si>
  <si>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</si>
  <si>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</si>
  <si>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</si>
  <si>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</si>
  <si>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</si>
  <si>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</si>
  <si>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</si>
  <si>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</si>
  <si>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</si>
  <si>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</si>
  <si>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</si>
  <si>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</si>
  <si>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</si>
  <si>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</si>
  <si>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</si>
  <si>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</si>
  <si>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</si>
  <si>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</si>
  <si>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</si>
  <si>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</si>
  <si>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</si>
  <si>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</si>
  <si>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</si>
  <si>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</si>
  <si>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</si>
  <si>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</si>
  <si>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</si>
  <si>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</si>
  <si>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</si>
  <si>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</si>
  <si>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</si>
  <si>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</si>
  <si>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</si>
  <si>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</si>
  <si>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</si>
  <si>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</si>
  <si>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</si>
  <si>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</si>
  <si>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</si>
  <si>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</si>
  <si>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</si>
  <si>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</si>
  <si>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</si>
  <si>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</si>
  <si>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</si>
  <si>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</si>
  <si>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</si>
  <si>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</si>
  <si>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</si>
  <si>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</si>
  <si>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</si>
  <si>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</si>
  <si>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</si>
  <si>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</si>
  <si>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</si>
  <si>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</si>
  <si>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</si>
  <si>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</si>
  <si>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</si>
  <si>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</si>
  <si>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</si>
  <si>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</si>
  <si>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</si>
  <si>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</si>
  <si>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</si>
  <si>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</si>
  <si>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</si>
  <si>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</si>
  <si>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</si>
  <si>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</si>
  <si>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</si>
  <si>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</si>
  <si>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</si>
  <si>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</si>
  <si>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</si>
  <si>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</si>
  <si>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</si>
  <si>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</si>
  <si>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</si>
  <si>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</si>
  <si>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</si>
  <si>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</si>
  <si>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</si>
  <si>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</si>
  <si>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</si>
  <si>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</si>
  <si>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</si>
  <si>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</si>
  <si>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</si>
  <si>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</si>
  <si>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</si>
  <si>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</si>
  <si>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</si>
  <si>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</si>
  <si>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</si>
  <si>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</si>
  <si>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</si>
  <si>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</si>
  <si>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</si>
  <si>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</si>
  <si>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</si>
  <si>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</si>
  <si>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</si>
  <si>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</si>
  <si>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</si>
  <si>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</si>
  <si>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</si>
  <si>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</si>
  <si>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</si>
  <si>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</si>
  <si>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</si>
  <si>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</si>
  <si>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</si>
  <si>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</si>
  <si>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</si>
  <si>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</si>
  <si>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</si>
  <si>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</si>
  <si>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</si>
  <si>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</si>
  <si>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</si>
  <si>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</si>
  <si>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</si>
  <si>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</si>
  <si>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</si>
  <si>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</si>
  <si>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</si>
  <si>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</si>
  <si>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</si>
  <si>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</si>
  <si>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</si>
  <si>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</si>
  <si>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</si>
  <si>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</si>
  <si>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</si>
  <si>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</si>
  <si>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</si>
  <si>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</si>
  <si>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</si>
  <si>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</si>
  <si>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</si>
  <si>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</si>
  <si>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</si>
  <si>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</si>
  <si>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</si>
  <si>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</si>
  <si>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</si>
  <si>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</si>
  <si>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</si>
  <si>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</si>
  <si>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</si>
  <si>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</si>
  <si>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</si>
  <si>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</si>
  <si>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</si>
  <si>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</si>
  <si>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</si>
  <si>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</si>
  <si>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</si>
  <si>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</si>
  <si>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</si>
  <si>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</si>
  <si>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</si>
  <si>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</si>
  <si>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</si>
  <si>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</si>
  <si>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</si>
  <si>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</si>
  <si>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</si>
  <si>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</si>
  <si>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</si>
  <si>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</si>
  <si>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</si>
  <si>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</si>
  <si>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</si>
  <si>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</si>
  <si>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</si>
  <si>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</si>
  <si>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</si>
  <si>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</si>
  <si>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</si>
  <si>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</si>
  <si>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</si>
  <si>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</si>
  <si>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</si>
  <si>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</si>
  <si>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</si>
  <si>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</si>
  <si>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</si>
  <si>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</si>
  <si>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</si>
  <si>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</si>
  <si>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</si>
  <si>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</si>
  <si>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</si>
  <si>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</si>
  <si>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</si>
  <si>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</si>
  <si>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</si>
  <si>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</si>
  <si>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</si>
  <si>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</si>
  <si>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</si>
  <si>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</si>
  <si>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</si>
  <si>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</si>
  <si>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</si>
  <si>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</si>
  <si>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</si>
  <si>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</si>
  <si>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</si>
  <si>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</si>
  <si>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</si>
  <si>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</si>
  <si>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</si>
  <si>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</si>
  <si>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</si>
  <si>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</si>
  <si>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</si>
  <si>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</si>
  <si>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</si>
  <si>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</si>
  <si>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</si>
  <si>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</si>
  <si>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</si>
  <si>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</si>
  <si>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</si>
  <si>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</si>
  <si>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</si>
  <si>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</si>
  <si>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</si>
  <si>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</si>
  <si>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</si>
  <si>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</si>
  <si>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</si>
  <si>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</si>
  <si>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</si>
  <si>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</si>
  <si>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</si>
  <si>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</si>
  <si>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</si>
  <si>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</si>
  <si>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</si>
  <si>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</si>
  <si>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</si>
  <si>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</si>
  <si>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</si>
  <si>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</si>
  <si>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</si>
  <si>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</si>
  <si>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</si>
  <si>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</si>
  <si>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</si>
  <si>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</si>
  <si>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</si>
  <si>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</si>
  <si>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</si>
  <si>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</si>
  <si>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</si>
  <si>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</si>
  <si>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</si>
  <si>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</si>
  <si>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</si>
  <si>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</si>
  <si>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</si>
  <si>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</si>
  <si>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</si>
  <si>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</si>
  <si>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</si>
  <si>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</si>
  <si>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</si>
  <si>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</si>
  <si>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</si>
  <si>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</si>
  <si>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</si>
  <si>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</si>
  <si>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</si>
  <si>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</si>
  <si>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</si>
  <si>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</si>
  <si>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</si>
  <si>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</si>
  <si>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</si>
  <si>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</si>
  <si>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</si>
  <si>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</si>
  <si>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</si>
  <si>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</si>
  <si>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</si>
  <si>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</si>
  <si>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</si>
  <si>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</si>
  <si>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</si>
  <si>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</si>
  <si>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</si>
  <si>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</si>
  <si>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</si>
  <si>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</si>
  <si>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</si>
  <si>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</si>
  <si>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</si>
  <si>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</si>
  <si>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</si>
  <si>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</si>
  <si>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</si>
  <si>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</si>
  <si>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</si>
  <si>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</si>
  <si>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</si>
  <si>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</si>
  <si>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</si>
  <si>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</si>
  <si>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</si>
  <si>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</si>
  <si>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</si>
  <si>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</si>
  <si>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</si>
  <si>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</si>
  <si>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</si>
  <si>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</si>
  <si>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</si>
  <si>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</si>
  <si>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</si>
  <si>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</si>
  <si>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</si>
  <si>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</si>
  <si>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</si>
  <si>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</si>
  <si>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</si>
  <si>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</si>
  <si>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</si>
  <si>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</si>
  <si>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</si>
  <si>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</si>
  <si>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</si>
  <si>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</si>
  <si>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</si>
  <si>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</si>
  <si>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</si>
  <si>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</si>
  <si>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</si>
  <si>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</si>
  <si>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</si>
  <si>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</si>
  <si>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</si>
  <si>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</si>
  <si>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</si>
  <si>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</si>
  <si>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</si>
  <si>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</si>
  <si>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</si>
  <si>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</si>
  <si>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</si>
  <si>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</si>
  <si>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</si>
  <si>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</si>
  <si>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</si>
  <si>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</si>
  <si>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</si>
  <si>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</si>
  <si>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</si>
  <si>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</si>
  <si>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</si>
  <si>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</si>
  <si>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</si>
  <si>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</si>
  <si>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</si>
  <si>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</si>
  <si>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</si>
  <si>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</si>
  <si>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</si>
  <si>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</si>
  <si>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</si>
  <si>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</si>
  <si>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</si>
  <si>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</si>
  <si>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</si>
  <si>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</si>
  <si>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</si>
  <si>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</si>
  <si>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</si>
  <si>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</si>
  <si>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</si>
  <si>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</si>
  <si>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</si>
  <si>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</si>
  <si>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</si>
  <si>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</si>
  <si>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</si>
  <si>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</si>
  <si>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</si>
  <si>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</si>
  <si>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</si>
  <si>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</si>
  <si>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</si>
  <si>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</si>
  <si>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</si>
  <si>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</si>
  <si>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</si>
  <si>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</si>
  <si>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</si>
  <si>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</si>
  <si>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</si>
  <si>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</si>
  <si>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</si>
  <si>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</si>
  <si>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</si>
  <si>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</si>
  <si>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</si>
  <si>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</si>
  <si>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</si>
  <si>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</si>
  <si>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</si>
  <si>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</si>
  <si>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</si>
  <si>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</si>
  <si>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</si>
  <si>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</si>
  <si>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</si>
  <si>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</si>
  <si>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</si>
  <si>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</si>
  <si>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</si>
  <si>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</si>
  <si>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</si>
  <si>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</si>
  <si>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</si>
  <si>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</si>
  <si>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</si>
  <si>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</si>
  <si>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</si>
  <si>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</si>
  <si>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</si>
  <si>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</si>
  <si>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</si>
  <si>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</si>
  <si>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</si>
  <si>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</si>
  <si>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</si>
  <si>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</si>
  <si>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</si>
  <si>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</si>
  <si>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</si>
  <si>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</si>
  <si>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</si>
  <si>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</si>
  <si>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</si>
  <si>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</si>
  <si>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</si>
  <si>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</si>
  <si>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</si>
  <si>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</si>
  <si>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</si>
  <si>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</si>
  <si>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</si>
  <si>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</si>
  <si>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</si>
  <si>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</si>
  <si>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</si>
  <si>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</si>
  <si>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</si>
  <si>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</si>
  <si>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</si>
  <si>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</si>
  <si>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</si>
  <si>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</si>
  <si>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</si>
  <si>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</si>
  <si>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</si>
  <si>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</si>
  <si>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</si>
  <si>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</si>
  <si>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</si>
  <si>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</si>
  <si>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</si>
  <si>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</si>
  <si>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</si>
  <si>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</si>
  <si>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</si>
  <si>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</si>
  <si>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</si>
  <si>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</si>
  <si>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</si>
  <si>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</si>
  <si>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</si>
  <si>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</si>
  <si>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</si>
  <si>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</si>
  <si>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</si>
  <si>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</si>
  <si>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</si>
  <si>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</si>
  <si>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</si>
  <si>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</si>
  <si>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</si>
  <si>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</si>
  <si>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</si>
  <si>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</si>
  <si>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</si>
  <si>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</si>
  <si>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</si>
  <si>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</si>
  <si>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</si>
  <si>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</si>
  <si>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</si>
  <si>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</si>
  <si>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</si>
  <si>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</si>
  <si>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</si>
  <si>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</si>
  <si>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</si>
  <si>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</si>
  <si>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</si>
  <si>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</si>
  <si>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</si>
  <si>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</si>
  <si>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</si>
  <si>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</si>
  <si>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</si>
  <si>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</si>
  <si>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</si>
  <si>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</si>
  <si>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</si>
  <si>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</si>
  <si>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</si>
  <si>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</si>
  <si>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</si>
  <si>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</si>
  <si>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</si>
  <si>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</si>
  <si>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</si>
  <si>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</si>
  <si>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</si>
  <si>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</si>
  <si>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</si>
  <si>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</si>
  <si>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</si>
  <si>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</si>
  <si>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</si>
  <si>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</si>
  <si>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</si>
  <si>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</si>
  <si>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</si>
  <si>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</si>
  <si>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</si>
  <si>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</si>
  <si>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</si>
  <si>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</si>
  <si>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</si>
  <si>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</si>
  <si>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</si>
  <si>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</si>
  <si>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</si>
  <si>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</si>
  <si>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</si>
  <si>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</si>
  <si>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</si>
  <si>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</si>
  <si>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</si>
  <si>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</si>
  <si>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</si>
  <si>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</si>
  <si>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</si>
  <si>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</si>
  <si>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</si>
  <si>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</si>
  <si>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</si>
  <si>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</si>
  <si>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</si>
  <si>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</si>
  <si>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</si>
  <si>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</si>
  <si>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</si>
  <si>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</si>
  <si>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</si>
  <si>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</si>
  <si>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</si>
  <si>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</si>
  <si>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</si>
  <si>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</si>
  <si>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</si>
  <si>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</si>
  <si>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</si>
  <si>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</si>
  <si>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</si>
  <si>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</si>
  <si>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</si>
  <si>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</si>
  <si>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</si>
  <si>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</si>
  <si>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</si>
  <si>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</si>
  <si>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</si>
  <si>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</si>
  <si>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</si>
  <si>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</si>
  <si>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</si>
  <si>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</si>
  <si>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</si>
  <si>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</si>
  <si>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</si>
  <si>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</si>
  <si>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</si>
  <si>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</si>
  <si>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</si>
  <si>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</si>
  <si>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</si>
  <si>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</si>
  <si>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</si>
  <si>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</si>
  <si>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</si>
  <si>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</si>
  <si>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</si>
  <si>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</si>
  <si>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</si>
  <si>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</si>
  <si>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</si>
  <si>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</si>
  <si>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</si>
  <si>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</si>
  <si>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</si>
  <si>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</si>
  <si>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</si>
  <si>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</si>
  <si>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</si>
  <si>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</si>
  <si>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</si>
  <si>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</si>
  <si>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</si>
  <si>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</si>
  <si>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</si>
  <si>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</si>
  <si>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</si>
  <si>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</si>
  <si>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</si>
  <si>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</si>
  <si>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</si>
  <si>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</si>
  <si>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</si>
  <si>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</si>
  <si>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</si>
  <si>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</si>
  <si>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</si>
  <si>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</si>
  <si>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</si>
  <si>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</si>
  <si>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</si>
  <si>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</si>
  <si>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</si>
  <si>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</si>
  <si>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</si>
  <si>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</si>
  <si>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</si>
  <si>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</si>
  <si>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</si>
  <si>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</si>
  <si>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</si>
  <si>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</si>
  <si>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</si>
  <si>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</si>
  <si>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</si>
  <si>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</si>
  <si>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</si>
  <si>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</si>
  <si>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</si>
  <si>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</si>
  <si>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</si>
  <si>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</si>
  <si>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</si>
  <si>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</si>
  <si>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</si>
  <si>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</si>
  <si>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</si>
  <si>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</si>
  <si>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</si>
  <si>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</si>
  <si>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</si>
  <si>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</si>
  <si>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</si>
  <si>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</si>
  <si>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</si>
  <si>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</si>
  <si>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</si>
  <si>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</si>
  <si>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</si>
  <si>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</si>
  <si>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</si>
  <si>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</si>
  <si>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</si>
  <si>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</si>
  <si>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</si>
  <si>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</si>
  <si>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</si>
  <si>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</si>
  <si>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</si>
  <si>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</si>
  <si>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</si>
  <si>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</si>
  <si>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</si>
  <si>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</si>
  <si>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</si>
  <si>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</si>
  <si>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</si>
  <si>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</si>
  <si>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</si>
  <si>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</si>
  <si>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</si>
  <si>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</si>
  <si>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</si>
  <si>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</si>
  <si>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</si>
  <si>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</si>
  <si>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</si>
  <si>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</si>
  <si>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</si>
  <si>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</si>
  <si>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</si>
  <si>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</si>
  <si>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</si>
  <si>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</si>
  <si>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</si>
  <si>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</si>
  <si>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</si>
  <si>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</si>
  <si>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</si>
  <si>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</si>
  <si>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</si>
  <si>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</si>
  <si>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</si>
  <si>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</si>
  <si>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</si>
  <si>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</si>
  <si>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</si>
  <si>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</si>
  <si>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</si>
  <si>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</si>
  <si>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</si>
  <si>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</si>
  <si>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</si>
  <si>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</si>
  <si>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</si>
  <si>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</si>
  <si>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</si>
  <si>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</si>
  <si>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</si>
  <si>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</si>
  <si>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</si>
  <si>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</si>
  <si>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</si>
  <si>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</si>
  <si>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</si>
  <si>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</si>
  <si>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</si>
  <si>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</si>
  <si>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</si>
  <si>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</si>
  <si>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</si>
  <si>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</si>
  <si>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</si>
  <si>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</si>
  <si>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</si>
  <si>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</si>
  <si>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</si>
  <si>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</si>
  <si>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</si>
  <si>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</si>
  <si>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</si>
  <si>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</si>
  <si>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</si>
  <si>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</si>
  <si>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</si>
  <si>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</si>
  <si>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</si>
  <si>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</si>
  <si>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</si>
  <si>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</si>
  <si>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</si>
  <si>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</si>
  <si>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</si>
  <si>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</si>
  <si>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</si>
  <si>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</si>
  <si>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</si>
  <si>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</si>
  <si>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</si>
  <si>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</si>
  <si>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</si>
  <si>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</si>
  <si>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</si>
  <si>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</si>
  <si>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</si>
  <si>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</si>
  <si>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</si>
  <si>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</si>
  <si>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</si>
  <si>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</si>
  <si>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</si>
  <si>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</si>
  <si>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</si>
  <si>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</si>
  <si>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</si>
  <si>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</si>
  <si>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</si>
  <si>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</si>
  <si>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</si>
  <si>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</si>
  <si>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</si>
  <si>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</si>
  <si>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</si>
  <si>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</si>
  <si>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</si>
  <si>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</si>
  <si>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</si>
  <si>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</si>
  <si>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</si>
  <si>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</si>
  <si>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</si>
  <si>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</si>
  <si>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</si>
  <si>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</si>
  <si>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</si>
  <si>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</si>
  <si>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</si>
  <si>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</si>
  <si>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</si>
  <si>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</si>
  <si>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</si>
  <si>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</si>
  <si>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</si>
  <si>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</si>
  <si>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</si>
  <si>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</si>
  <si>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</si>
  <si>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</si>
  <si>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</si>
  <si>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</si>
  <si>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</si>
  <si>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</si>
  <si>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</si>
  <si>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</si>
  <si>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</si>
  <si>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</si>
  <si>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</si>
  <si>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</si>
  <si>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</si>
  <si>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</si>
  <si>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</si>
  <si>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</si>
  <si>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</si>
  <si>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</si>
  <si>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</si>
  <si>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</si>
  <si>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</si>
  <si>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</si>
  <si>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</si>
  <si>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</si>
  <si>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</si>
  <si>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</si>
  <si>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</si>
  <si>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</si>
  <si>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</si>
  <si>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</si>
  <si>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</si>
  <si>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</si>
  <si>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</si>
  <si>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</si>
  <si>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</si>
  <si>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</si>
  <si>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</si>
  <si>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</si>
  <si>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</si>
  <si>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</si>
  <si>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</si>
  <si>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</si>
  <si>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</si>
  <si>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</si>
  <si>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</si>
  <si>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</si>
  <si>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</si>
  <si>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</si>
  <si>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</si>
  <si>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</si>
  <si>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</si>
  <si>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</si>
  <si>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</si>
  <si>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</si>
  <si>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</si>
  <si>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</si>
  <si>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</si>
  <si>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</si>
  <si>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</si>
  <si>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</si>
  <si>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</si>
  <si>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</si>
  <si>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</si>
  <si>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</si>
  <si>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</si>
  <si>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</si>
  <si>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</si>
  <si>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</si>
  <si>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</si>
  <si>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</si>
  <si>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</si>
  <si>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</si>
  <si>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</si>
  <si>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</si>
  <si>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</si>
  <si>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3vg incl.bh excl.db</t>
  </si>
  <si>
    <t>VPT 4vg incl.bh excl.db</t>
  </si>
  <si>
    <t>VPT 5vg incl.bh excl.db</t>
  </si>
  <si>
    <t>VPT 6vg incl.bh excl.db</t>
  </si>
  <si>
    <t>VPT 7vg incl.bh excl.db</t>
  </si>
  <si>
    <t>VPT 8vg incl.bh excl.db</t>
  </si>
  <si>
    <t>VPT 1lvg incl.bh incl.db</t>
  </si>
  <si>
    <t>VPT 2lvg incl.bh incl.db</t>
  </si>
  <si>
    <t>VPT 3lvg incl.bh incl.db</t>
  </si>
  <si>
    <t>VPT 4lvg incl.bh incl.db</t>
  </si>
  <si>
    <t>VPT 5lvg incl.bh incl.db</t>
  </si>
  <si>
    <t>VPT 1sglvg incl.bh incl.db</t>
  </si>
  <si>
    <t>VPT 1lg excl.bh excl.db</t>
  </si>
  <si>
    <t>VPT 2lg excl.bh excl.db</t>
  </si>
  <si>
    <t>VPT 3lg incl.bh excl.db</t>
  </si>
  <si>
    <t>VPT 4lg incl.bh excl.db</t>
  </si>
  <si>
    <t>VPT 5lg incl.bh excl.db</t>
  </si>
  <si>
    <t>VPT 6lg incl.bh excl.db</t>
  </si>
  <si>
    <t>VPT 7lg incl.bh excl.db</t>
  </si>
  <si>
    <t>VPT 1zg-auditief incl.bh excl.db</t>
  </si>
  <si>
    <t>VPT 2zg-auditief incl.bh excl.db</t>
  </si>
  <si>
    <t>VPT 3zg-auditief incl.bh excl.db</t>
  </si>
  <si>
    <t>VPT 4zg-auditief incl.bh excl.db</t>
  </si>
  <si>
    <t>VPT 1zg-visueel excl.bh excl.db</t>
  </si>
  <si>
    <t>VPT 2zg-visueel excl.bh excl.db</t>
  </si>
  <si>
    <t>VPT 3zg-visueel incl.bh excl.db</t>
  </si>
  <si>
    <t>VPT 4zg-visueel incl.bh excl.db</t>
  </si>
  <si>
    <t>VPT 5zg-visueel incl.bh excl.db</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</si>
  <si>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</si>
  <si>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</si>
  <si>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</si>
  <si>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</si>
  <si>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</si>
  <si>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</si>
  <si>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</si>
  <si>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</si>
  <si>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</si>
  <si>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</si>
  <si>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</si>
  <si>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</si>
  <si>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</si>
  <si>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</si>
  <si>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</si>
  <si>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</si>
  <si>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</si>
  <si>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</si>
  <si>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</si>
  <si>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</si>
  <si>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</si>
  <si>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</si>
  <si>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</si>
  <si>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</si>
  <si>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</si>
  <si>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</si>
  <si>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</si>
  <si>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</si>
  <si>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</si>
  <si>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</si>
  <si>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</si>
  <si>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</si>
  <si>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</si>
  <si>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</si>
  <si>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</si>
  <si>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</si>
  <si>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</si>
  <si>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</si>
  <si>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</si>
  <si>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</si>
  <si>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</si>
  <si>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</si>
  <si>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</si>
  <si>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</si>
  <si>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</si>
  <si>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</si>
  <si>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</si>
  <si>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</si>
  <si>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</si>
  <si>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</si>
  <si>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</si>
  <si>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</si>
  <si>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</si>
  <si>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</si>
  <si>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</si>
  <si>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</si>
  <si>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</si>
  <si>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</si>
  <si>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</si>
  <si>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</si>
  <si>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</si>
  <si>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</si>
  <si>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</si>
  <si>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</si>
  <si>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</si>
  <si>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</si>
  <si>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</si>
  <si>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</si>
  <si>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</si>
  <si>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</si>
  <si>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</si>
  <si>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</si>
  <si>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</si>
  <si>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</si>
  <si>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</si>
  <si>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</si>
  <si>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</si>
  <si>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</si>
  <si>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</si>
  <si>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</si>
  <si>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</si>
  <si>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</si>
  <si>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</si>
  <si>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</si>
  <si>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</si>
  <si>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</si>
  <si>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</si>
  <si>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</si>
  <si>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</si>
  <si>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</si>
  <si>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</si>
  <si>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</si>
  <si>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</si>
  <si>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</si>
  <si>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</si>
  <si>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</si>
  <si>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</si>
  <si>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</si>
  <si>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</si>
  <si>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</si>
  <si>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</si>
  <si>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</si>
  <si>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</si>
  <si>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</si>
  <si>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</si>
  <si>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</si>
  <si>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</si>
  <si>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</si>
  <si>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</si>
  <si>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</si>
  <si>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</si>
  <si>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</si>
  <si>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</si>
  <si>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</si>
  <si>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</si>
  <si>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</si>
  <si>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</si>
  <si>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</si>
  <si>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</si>
  <si>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</si>
  <si>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</si>
  <si>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</si>
  <si>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</si>
  <si>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</si>
  <si>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</si>
  <si>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</si>
  <si>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</si>
  <si>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</si>
  <si>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</si>
  <si>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</si>
  <si>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</si>
  <si>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</si>
  <si>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</si>
  <si>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</si>
  <si>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</si>
  <si>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</si>
  <si>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</si>
  <si>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</si>
  <si>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</si>
  <si>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</si>
  <si>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</si>
  <si>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</si>
  <si>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</si>
  <si>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</si>
  <si>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</si>
  <si>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</si>
  <si>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</si>
  <si>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</si>
  <si>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</si>
  <si>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</si>
  <si>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</si>
  <si>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</si>
  <si>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</si>
  <si>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</si>
  <si>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</si>
  <si>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</si>
  <si>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</si>
  <si>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</si>
  <si>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</si>
  <si>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</si>
  <si>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</si>
  <si>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</si>
  <si>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</si>
  <si>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</si>
  <si>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</si>
  <si>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</si>
  <si>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</si>
  <si>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</si>
  <si>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</si>
  <si>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</si>
  <si>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</si>
  <si>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</si>
  <si>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</si>
  <si>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</si>
  <si>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</si>
  <si>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</si>
  <si>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</si>
  <si>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</si>
  <si>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</si>
  <si>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</si>
  <si>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</si>
  <si>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</si>
  <si>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</si>
  <si>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</si>
  <si>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</si>
  <si>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</si>
  <si>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</si>
  <si>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</si>
  <si>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</si>
  <si>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</si>
  <si>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</si>
  <si>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</si>
  <si>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</si>
  <si>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</si>
  <si>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</si>
  <si>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</si>
  <si>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</si>
  <si>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</si>
  <si>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</si>
  <si>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</si>
  <si>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</si>
  <si>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</si>
  <si>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</si>
  <si>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</si>
  <si>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</si>
  <si>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</si>
  <si>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</si>
  <si>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</si>
  <si>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</si>
  <si>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</si>
  <si>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</si>
  <si>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</si>
  <si>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</si>
  <si>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</si>
  <si>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</si>
  <si>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</si>
  <si>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</si>
  <si>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</si>
  <si>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</si>
  <si>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</si>
  <si>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</si>
  <si>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</si>
  <si>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</si>
  <si>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</si>
  <si>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</si>
  <si>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</si>
  <si>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</si>
  <si>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</si>
  <si>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</si>
  <si>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</si>
  <si>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</si>
  <si>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</si>
  <si>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</si>
  <si>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</si>
  <si>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</si>
  <si>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</si>
  <si>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</si>
  <si>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</si>
  <si>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</si>
  <si>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</si>
  <si>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</si>
  <si>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</si>
  <si>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</si>
  <si>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</si>
  <si>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</si>
  <si>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</si>
  <si>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</si>
  <si>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</si>
  <si>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</si>
  <si>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</si>
  <si>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</si>
  <si>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</si>
  <si>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</si>
  <si>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</si>
  <si>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</si>
  <si>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</si>
  <si>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</si>
  <si>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</si>
  <si>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</si>
  <si>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</si>
  <si>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</si>
  <si>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</si>
  <si>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</si>
  <si>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</si>
  <si>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</si>
  <si>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</si>
  <si>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</si>
  <si>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</si>
  <si>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</si>
  <si>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</si>
  <si>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</si>
  <si>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</si>
  <si>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</si>
  <si>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</si>
  <si>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</si>
  <si>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</si>
  <si>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</si>
  <si>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</si>
  <si>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</si>
  <si>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</si>
  <si>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</si>
  <si>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</si>
  <si>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</si>
  <si>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</si>
  <si>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</si>
  <si>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</si>
  <si>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</si>
  <si>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</si>
  <si>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</si>
  <si>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</si>
  <si>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</si>
  <si>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</si>
  <si>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</si>
  <si>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</si>
  <si>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</si>
  <si>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</si>
  <si>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</si>
  <si>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</si>
  <si>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</si>
  <si>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</si>
  <si>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</si>
  <si>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</si>
  <si>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</si>
  <si>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</si>
  <si>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</si>
  <si>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</si>
  <si>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</si>
  <si>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</si>
  <si>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</si>
  <si>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</si>
  <si>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</si>
  <si>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</si>
  <si>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</si>
  <si>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</si>
  <si>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</si>
  <si>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</si>
  <si>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</si>
  <si>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</si>
  <si>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</si>
  <si>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</si>
  <si>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</si>
  <si>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</si>
  <si>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</si>
  <si>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</si>
  <si>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</si>
  <si>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</si>
  <si>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</si>
  <si>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</si>
  <si>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</si>
  <si>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</si>
  <si>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</si>
  <si>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</si>
  <si>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</si>
  <si>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</si>
  <si>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</si>
  <si>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</si>
  <si>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</si>
  <si>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</si>
  <si>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</si>
  <si>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</si>
  <si>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</si>
  <si>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</si>
  <si>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</si>
  <si>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</si>
  <si>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</si>
  <si>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</si>
  <si>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</si>
  <si>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</si>
  <si>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</si>
  <si>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</si>
  <si>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</si>
  <si>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</si>
  <si>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</si>
  <si>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</si>
  <si>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</si>
  <si>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</si>
  <si>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</si>
  <si>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</si>
  <si>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</si>
  <si>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</si>
  <si>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</si>
  <si>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</si>
  <si>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</si>
  <si>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</si>
  <si>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</si>
  <si>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</si>
  <si>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</si>
  <si>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</si>
  <si>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</si>
  <si>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</si>
  <si>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</si>
  <si>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</si>
  <si>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</si>
  <si>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</si>
  <si>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</si>
  <si>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</si>
  <si>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</si>
  <si>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</si>
  <si>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</si>
  <si>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</si>
  <si>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</si>
  <si>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</si>
  <si>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</si>
  <si>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</si>
  <si>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</si>
  <si>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</si>
  <si>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</si>
  <si>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</si>
  <si>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</si>
  <si>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</si>
  <si>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</si>
  <si>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</si>
  <si>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</si>
  <si>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</si>
  <si>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</si>
  <si>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</si>
  <si>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</si>
  <si>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</si>
  <si>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</si>
  <si>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</si>
  <si>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</si>
  <si>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</si>
  <si>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</si>
  <si>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</si>
  <si>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</si>
  <si>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</si>
  <si>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</si>
  <si>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</si>
  <si>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</si>
  <si>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</si>
  <si>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</si>
  <si>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</si>
  <si>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</si>
  <si>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</si>
  <si>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</si>
  <si>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Overige reden voor aanvraag extra budget maar betreft een andere reden</t>
  </si>
  <si>
    <t>5. Overig</t>
  </si>
  <si>
    <t>Gespecialiseerd verpleegkundig handelen (GVP)</t>
  </si>
  <si>
    <t>GVP</t>
  </si>
  <si>
    <t>6. Gespecialiseerd verpleegkundig handelen</t>
  </si>
  <si>
    <t>Voor Toeslag overig geldt: CD048: Als ExtraKostenThuis en ToeslagBeademing niet gevuld zijn, dan verplicht vullen, anders leeg laten.</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</si>
  <si>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</si>
  <si>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</si>
  <si>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</si>
  <si>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</si>
  <si>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</si>
  <si>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</si>
  <si>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</si>
  <si>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</si>
  <si>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</si>
  <si>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</si>
  <si>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</si>
  <si>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</si>
  <si>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</si>
  <si>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</si>
  <si>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</si>
  <si>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</si>
  <si>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</si>
  <si>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</si>
  <si>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</si>
  <si>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</si>
  <si>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</si>
  <si>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</si>
  <si>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</si>
  <si>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</si>
  <si>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</si>
  <si>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</si>
  <si>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</si>
  <si>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</si>
  <si>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</si>
  <si>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</si>
  <si>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</si>
  <si>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</si>
  <si>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</si>
  <si>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</si>
  <si>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</si>
  <si>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</si>
  <si>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</si>
  <si>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</si>
  <si>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</si>
  <si>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</si>
  <si>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</si>
  <si>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</si>
  <si>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</si>
  <si>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</si>
  <si>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</si>
  <si>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</si>
  <si>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</si>
  <si>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</si>
  <si>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</si>
  <si>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</si>
  <si>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</si>
  <si>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</si>
  <si>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</si>
  <si>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Versie 28 juni 2018</t>
  </si>
  <si>
    <t>H881</t>
  </si>
  <si>
    <t>Vervoer dagbesteding/dagbehandeling ghz - categorie 1</t>
  </si>
  <si>
    <t>H882</t>
  </si>
  <si>
    <t>Vervoer dagbesteding/dagbehandeling ghz - categorie 2</t>
  </si>
  <si>
    <t>H883</t>
  </si>
  <si>
    <t>Vervoer dagbesteding/dagbehandeling ghz - categorie 3</t>
  </si>
  <si>
    <t>H884</t>
  </si>
  <si>
    <t>Vervoer dagbesteding/dagbehandeling ghz - categorie 4</t>
  </si>
  <si>
    <t>H885</t>
  </si>
  <si>
    <t>Vervoer dagbesteding/dagbehandeling ghz - categorie 5</t>
  </si>
  <si>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</si>
  <si>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</si>
  <si>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</si>
  <si>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</si>
  <si>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</si>
  <si>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</si>
  <si>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</si>
  <si>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</si>
  <si>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</si>
  <si>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</si>
  <si>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</si>
  <si>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</si>
  <si>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</si>
  <si>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</si>
  <si>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</si>
  <si>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</si>
  <si>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</si>
  <si>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</si>
  <si>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</si>
  <si>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</si>
  <si>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</si>
  <si>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</si>
  <si>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</si>
  <si>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</si>
  <si>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V941</t>
  </si>
  <si>
    <t>V942</t>
  </si>
  <si>
    <t>V943</t>
  </si>
  <si>
    <t>V944</t>
  </si>
  <si>
    <t>V945</t>
  </si>
  <si>
    <t xml:space="preserve"> ( a )</t>
  </si>
  <si>
    <t xml:space="preserve"> ( b )</t>
  </si>
  <si>
    <t>( c )</t>
  </si>
  <si>
    <t>( d)</t>
  </si>
  <si>
    <t>Bijlage 3 bij BR/REG-19121a Beleidsregel prestatiebeschrijvingen en tarieven zorgzwaartepakketten en volledig pakket thuis 2019 *</t>
  </si>
  <si>
    <t>Loon</t>
  </si>
  <si>
    <t>Materieel</t>
  </si>
  <si>
    <t>Dagbesteding vg zwaar (vg8)</t>
  </si>
  <si>
    <t>Z941</t>
  </si>
  <si>
    <t>Z942</t>
  </si>
  <si>
    <t>Z943</t>
  </si>
  <si>
    <t>Z944</t>
  </si>
  <si>
    <t>Z945</t>
  </si>
  <si>
    <t>H981</t>
  </si>
  <si>
    <t>H982</t>
  </si>
  <si>
    <t>H983</t>
  </si>
  <si>
    <t>H984</t>
  </si>
  <si>
    <t>H985</t>
  </si>
  <si>
    <t>Z984</t>
  </si>
  <si>
    <t>Toeslag intensieve gespecialiseeerde ggz-zorg voor cliënten</t>
  </si>
  <si>
    <t>**</t>
  </si>
  <si>
    <t>in crisisopvang/spoedzorg ghz vg met behandeling</t>
  </si>
  <si>
    <t>Z983</t>
  </si>
  <si>
    <t>Toeslag KDC</t>
  </si>
  <si>
    <t>Nieuwe prestaties per 2019</t>
  </si>
  <si>
    <t>Vervallen prestaties per 2019</t>
  </si>
  <si>
    <t>Voor een nadere toelichting op deze beleidsregelwaarden verwijzen wij naar het (nog te publiceren) verantwoordingsdocument Prestaties en tarieven Langdurige zorg, Fase 2: van kosten naar tarieven.</t>
  </si>
  <si>
    <t>Voor de prestatie Z984 verwijzen wij specifiek naar de toelichting op artikel 7.19 van de Beleidsregel prestatiebeschrijvingen en tarieven zorgzwaartepakketten en volledig pakket thuis 2019.</t>
  </si>
  <si>
    <t>Materiaal</t>
  </si>
  <si>
    <t>VPT EX behandeling</t>
  </si>
  <si>
    <t>VPT incl behandeling</t>
  </si>
  <si>
    <t>Profiel</t>
  </si>
  <si>
    <t>Tarieventabel 2019 pgb-Wlz (ZZP of zorgprofiel)</t>
  </si>
  <si>
    <t>Bijlage 3 bij BR/REG-19121 Beleidsregel prestatiebeschrijvingen en tarieven volledig pakket thuis 2019</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</si>
  <si>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</si>
  <si>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</si>
  <si>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</si>
  <si>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</si>
  <si>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</si>
  <si>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</si>
  <si>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</si>
  <si>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</si>
  <si>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Z110 Crisisopvang/spoedzorg vv met behandeling</t>
  </si>
  <si>
    <t>Z490 Crisisopvang/spoedzorg ghz vg zonder behandeling</t>
  </si>
  <si>
    <t>Z491 Crisisopvang/spoedzorg ghz vg met behandeling</t>
  </si>
  <si>
    <t xml:space="preserve">Z560 Crisisopvang/spoedzorg lvg </t>
  </si>
  <si>
    <t>Z280 Klinisch Intensieve Behandeling</t>
  </si>
  <si>
    <t>Z999 Logeren ghz-vg</t>
  </si>
  <si>
    <t>Z1000 Logeren ghz-lg</t>
  </si>
  <si>
    <t>Z1001 Logeren ghz-lvg</t>
  </si>
  <si>
    <t>Z1002 Logeren ghz-zg</t>
  </si>
  <si>
    <t>Z1003 Logeren vv</t>
  </si>
  <si>
    <t>Z901 Vervoer dagbesteding/dagbehandeling vv</t>
  </si>
  <si>
    <t>Z902 Vervoer dagbesteding ggz</t>
  </si>
  <si>
    <t>Z941 Vervoer dagbesteding/dagbehandeling ghz - categorie 1</t>
  </si>
  <si>
    <t>Z942 Vervoer dagbesteding/dagbehandeling ghz - categorie 2</t>
  </si>
  <si>
    <t>Z943 Vervoer dagbesteding/dagbehandeling ghz - categorie 3</t>
  </si>
  <si>
    <t>Z944 Vervoer dagbesteding/dagbehandeling ghz - categorie 4</t>
  </si>
  <si>
    <t>Z945 Vervoer dagbesteding/dagbehandeling ghz - categorie 5</t>
  </si>
  <si>
    <t>H981 Vervoer dagbesteding/dagbehandeling ghz - categorie 1</t>
  </si>
  <si>
    <t>H982 Vervoer dagbesteding/dagbehandeling ghz - categorie 2</t>
  </si>
  <si>
    <t>H983 Vervoer dagbesteding/dagbehandeling ghz - categorie 3</t>
  </si>
  <si>
    <t>H984 Vervoer dagbesteding/dagbehandeling ghz - categorie 4</t>
  </si>
  <si>
    <t>H985 Vervoer dagbesteding/dagbehandeling ghz - categorie 5</t>
  </si>
  <si>
    <t>Z920 Toeslag Huntington</t>
  </si>
  <si>
    <t>Z910 Toeslag Cerebro Vasculair Accident (CVA)</t>
  </si>
  <si>
    <t>Z918 Toeslag Invasieve beademing</t>
  </si>
  <si>
    <t>Z921 Toeslag Non-invasieve beademing</t>
  </si>
  <si>
    <t xml:space="preserve">Z911 Toeslag Multifunctioneel centrum (MFC) </t>
  </si>
  <si>
    <t>Z912 Toeslag observatie</t>
  </si>
  <si>
    <t>Z975 Toeslag gespecialiseerde epilepsie zorg (GEZ) laag</t>
  </si>
  <si>
    <t>Z976 Toeslag gespecialiseerde epilepsiezorg (GEZ) midden</t>
  </si>
  <si>
    <t>Z977 Toeslag gespecialiseerde epilepsiezorg (GEZ) hoog</t>
  </si>
  <si>
    <t>Z922 Toeslag Niet Strafrechtelijk forensische psychiatrie (NSFP)</t>
  </si>
  <si>
    <t>Z978 Toeslag woonzorg ghz kind</t>
  </si>
  <si>
    <t>Z979 Toeslag woonzorg ghz jeugd</t>
  </si>
  <si>
    <t>Z980 Toeslag woonzorg ghz jong volwassen</t>
  </si>
  <si>
    <t>Z982 Toeslag woonzorg ggz jong volwassen</t>
  </si>
  <si>
    <t>Z981 Toeslag gespecialiseerde behandelzorg</t>
  </si>
  <si>
    <t>Z984 Toeslag intensieve gespecialiseeerde ggz-zorg voor cliënten</t>
  </si>
  <si>
    <t xml:space="preserve"> in crisisopvang/spoedzorg ghz vg met behandeling</t>
  </si>
  <si>
    <t>Z913 Toeslag dagbesteding ghz kind - licht</t>
  </si>
  <si>
    <t>Z914 Toeslag dagbesteding ghz kind - midden</t>
  </si>
  <si>
    <t>Z915 Toeslag dagbesteding ghz kind - zwaar</t>
  </si>
  <si>
    <t>Z919 Toeslag dagbesteding ghz kind - vg5/vg8 midden emg</t>
  </si>
  <si>
    <t>H940 Toeslag kind dagbesteding vg licht</t>
  </si>
  <si>
    <t>H941 Toeslag kind dagbesteding vg midden</t>
  </si>
  <si>
    <t>H942 Toeslag kind dagbesteding vg5/ 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</si>
  <si>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</si>
  <si>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</si>
  <si>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</si>
  <si>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</si>
  <si>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</si>
  <si>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</si>
  <si>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</si>
  <si>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</si>
  <si>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</si>
  <si>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</si>
  <si>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Z983 Toeslag KDC</t>
  </si>
  <si>
    <t>WZ041 Opslag Waardigheid en Trots zzp 4-vv excl. bh</t>
  </si>
  <si>
    <t>WZ051 Opslag Waardigheid en Trots zzp 5-vv excl. bh</t>
  </si>
  <si>
    <t>WZ061 Opslag Waardigheid en Trots zzp 6-vv excl. bh</t>
  </si>
  <si>
    <t>WZ071 Opslag Waardigheid en Trots zzp 7-vv excl. bh</t>
  </si>
  <si>
    <t>WZ081 Opslag Waardigheid en Trots zzp 8-vv excl. bh</t>
  </si>
  <si>
    <t>WZ095 Opslag Waardigheid en Trots zzp 9b-vv excl. bh</t>
  </si>
  <si>
    <t>WZ101 Opslag Waardigheid en Trots zzp 10-vv excl. bh</t>
  </si>
  <si>
    <t>WZ043 Opslag Waardigheid en Trots zzp 4-vv incl. bh</t>
  </si>
  <si>
    <t>WZ053 Opslag Waardigheid en Trots zzp 5-vv incl. bh</t>
  </si>
  <si>
    <t>WZ063 Opslag Waardigheid en Trots zzp 6-vv incl. bh</t>
  </si>
  <si>
    <t>WZ073 Opslag Waardigheid en Trots zzp 7-vv incl. bh</t>
  </si>
  <si>
    <t>WZ083 Opslag Waardigheid en Trots zzp 8-vv incl. bh</t>
  </si>
  <si>
    <t>WZ097 Opslag Waardigheid en Trots zzp 9b-vv incl. bh</t>
  </si>
  <si>
    <t>WZ103 Opslag Waardigheid en Trots zzp 10-vv incl. bh</t>
  </si>
  <si>
    <t>Z903 Vervoer dagbesteding GHZ intramuraal</t>
  </si>
  <si>
    <t>Z904 Vervoer dagbesteding GHZ rolstoel intramuraal</t>
  </si>
  <si>
    <t>Z905 Vervoer dagbesteding kind intramuraal</t>
  </si>
  <si>
    <t>Ja; Extra kosten thuis</t>
  </si>
  <si>
    <t>Lijst4</t>
  </si>
  <si>
    <t>lijst4</t>
  </si>
  <si>
    <t>versie: 04-12-2018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</si>
</sst>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4"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6"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169" fontId="17" fillId="0" borderId="0" applyFont="0" applyFill="0" applyBorder="0" applyAlignment="0" applyProtection="0"/>
    <xf numFmtId="169" fontId="17" fillId="0" borderId="0" applyFont="0" applyFill="0" applyBorder="0" applyAlignment="0" applyProtection="0"/>
    <xf numFmtId="0" fontId="53" fillId="0" borderId="0"/>
    <xf numFmtId="0" fontId="53"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4" fillId="0" borderId="0" applyFont="0" applyFill="0" applyBorder="0" applyAlignment="0" applyProtection="0"/>
    <xf numFmtId="0" fontId="55" fillId="43" borderId="48"/>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9" fontId="17" fillId="0" borderId="0" applyFont="0" applyFill="0" applyBorder="0" applyAlignment="0" applyProtection="0"/>
    <xf numFmtId="9" fontId="17" fillId="0" borderId="0" applyFont="0" applyFill="0" applyBorder="0" applyAlignment="0" applyProtection="0"/>
    <xf numFmtId="9" fontId="54" fillId="0" borderId="0" applyFont="0" applyFill="0" applyBorder="0" applyAlignment="0" applyProtection="0"/>
    <xf numFmtId="0" fontId="53"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4" fillId="0" borderId="0"/>
    <xf numFmtId="0" fontId="57" fillId="0" borderId="42" applyFill="0" applyBorder="0"/>
    <xf numFmtId="170" fontId="57" fillId="0" borderId="42" applyFill="0" applyBorder="0"/>
    <xf numFmtId="0" fontId="57" fillId="0" borderId="42" applyFill="0" applyBorder="0"/>
    <xf numFmtId="0" fontId="58" fillId="44" borderId="49"/>
    <xf numFmtId="171" fontId="17" fillId="44" borderId="49"/>
    <xf numFmtId="171" fontId="17" fillId="44" borderId="49"/>
    <xf numFmtId="171" fontId="17" fillId="44" borderId="49"/>
    <xf numFmtId="171" fontId="17" fillId="44" borderId="49"/>
    <xf numFmtId="172" fontId="58" fillId="44" borderId="49"/>
    <xf numFmtId="172" fontId="57" fillId="0" borderId="42" applyFill="0" applyBorder="0"/>
    <xf numFmtId="0" fontId="53" fillId="0" borderId="48"/>
    <xf numFmtId="0" fontId="59" fillId="45" borderId="0"/>
    <xf numFmtId="0" fontId="51" fillId="0" borderId="0" applyNumberFormat="0" applyFill="0" applyBorder="0" applyAlignment="0" applyProtection="0"/>
    <xf numFmtId="0" fontId="55" fillId="0" borderId="50"/>
    <xf numFmtId="0" fontId="55"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3" fillId="0" borderId="52"/>
    <xf numFmtId="0" fontId="55" fillId="43" borderId="52"/>
    <xf numFmtId="0" fontId="58" fillId="44" borderId="53"/>
    <xf numFmtId="171" fontId="17" fillId="44" borderId="53"/>
    <xf numFmtId="171" fontId="17" fillId="44" borderId="53"/>
    <xf numFmtId="171" fontId="17" fillId="44" borderId="53"/>
    <xf numFmtId="171" fontId="17" fillId="44" borderId="53"/>
    <xf numFmtId="0" fontId="53" fillId="0" borderId="52"/>
    <xf numFmtId="0" fontId="55" fillId="0" borderId="52"/>
    <xf numFmtId="0" fontId="53" fillId="0" borderId="55"/>
    <xf numFmtId="0" fontId="55" fillId="43" borderId="55"/>
    <xf numFmtId="0" fontId="58" fillId="44" borderId="56"/>
    <xf numFmtId="171" fontId="17" fillId="44" borderId="56"/>
    <xf numFmtId="171" fontId="17" fillId="44" borderId="56"/>
    <xf numFmtId="171" fontId="17" fillId="44" borderId="56"/>
    <xf numFmtId="171" fontId="17" fillId="44" borderId="56"/>
    <xf numFmtId="0" fontId="53" fillId="0" borderId="55"/>
    <xf numFmtId="0" fontId="55" fillId="0" borderId="55"/>
  </cellStyleXfs>
  <cellXfs count="519">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0" fontId="0" fillId="0" borderId="0" xfId="0"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7"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60" fillId="0" borderId="0" xfId="0" applyFont="1"/>
    <xf numFmtId="173" fontId="0" fillId="0" borderId="0" xfId="0" applyNumberFormat="1" applyAlignment="1">
      <alignment horizontal="center"/>
    </xf>
    <xf numFmtId="49" fontId="0" fillId="0" borderId="0" xfId="0" applyNumberFormat="1" applyAlignment="1">
      <alignment horizontal="center"/>
    </xf>
    <xf numFmtId="0" fontId="61" fillId="0" borderId="0" xfId="0" applyFont="1"/>
    <xf numFmtId="173" fontId="60" fillId="0" borderId="0" xfId="0" applyNumberFormat="1" applyFont="1" applyAlignment="1">
      <alignment horizontal="center"/>
    </xf>
    <xf numFmtId="0" fontId="60" fillId="0" borderId="0" xfId="0" applyFont="1" applyAlignment="1">
      <alignment horizontal="center"/>
    </xf>
    <xf numFmtId="0" fontId="60"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0"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3" fillId="6" borderId="0" xfId="0" applyNumberFormat="1" applyFont="1" applyFill="1" applyProtection="1"/>
    <xf numFmtId="44" fontId="62"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4" fillId="15" borderId="0" xfId="0" applyFont="1" applyFill="1" applyBorder="1" applyAlignment="1">
      <alignment horizontal="left" vertical="top" wrapText="1"/>
    </xf>
    <xf numFmtId="0" fontId="7" fillId="20" borderId="0" xfId="0" applyFont="1" applyFill="1"/>
    <xf numFmtId="0" fontId="65"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5" fillId="10" borderId="0" xfId="0" applyFont="1" applyFill="1" applyAlignment="1">
      <alignment horizontal="left" vertical="top" wrapText="1"/>
    </xf>
    <xf numFmtId="165" fontId="7" fillId="12" borderId="25" xfId="0" applyNumberFormat="1" applyFont="1" applyFill="1" applyBorder="1"/>
    <xf numFmtId="44" fontId="63"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7" fillId="14" borderId="5"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6" fillId="13" borderId="32" xfId="0" applyFont="1" applyFill="1" applyBorder="1" applyAlignment="1">
      <alignment horizontal="left" vertical="center"/>
    </xf>
    <xf numFmtId="0" fontId="7" fillId="0" borderId="0" xfId="0" applyFont="1" applyAlignment="1">
      <alignment horizontal="left"/>
    </xf>
    <xf numFmtId="0" fontId="67" fillId="14" borderId="0" xfId="0" applyFont="1" applyFill="1" applyBorder="1"/>
    <xf numFmtId="0" fontId="7" fillId="7" borderId="12" xfId="0" applyFont="1" applyFill="1" applyBorder="1"/>
    <xf numFmtId="0" fontId="66" fillId="13" borderId="3" xfId="0" applyFont="1" applyFill="1" applyBorder="1" applyAlignment="1">
      <alignment horizontal="right" vertical="center"/>
    </xf>
    <xf numFmtId="0" fontId="66" fillId="13" borderId="4" xfId="0" applyFont="1" applyFill="1" applyBorder="1" applyAlignment="1">
      <alignment horizontal="right" vertical="center"/>
    </xf>
    <xf numFmtId="0" fontId="66" fillId="13" borderId="4" xfId="0" applyFont="1" applyFill="1" applyBorder="1" applyAlignment="1">
      <alignment vertical="center"/>
    </xf>
    <xf numFmtId="0" fontId="7" fillId="13" borderId="0" xfId="0" applyFont="1" applyFill="1"/>
    <xf numFmtId="0" fontId="66"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6" fillId="2" borderId="1"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4" fillId="0" borderId="0" xfId="1" applyFont="1" applyFill="1"/>
    <xf numFmtId="44" fontId="64" fillId="15" borderId="0" xfId="1" applyFont="1" applyFill="1"/>
    <xf numFmtId="44" fontId="7" fillId="16" borderId="0" xfId="0" applyNumberFormat="1" applyFont="1" applyFill="1"/>
    <xf numFmtId="0" fontId="68"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7" fillId="14" borderId="0" xfId="0" applyFont="1" applyFill="1"/>
    <xf numFmtId="49" fontId="68" fillId="13" borderId="4" xfId="0" applyNumberFormat="1" applyFont="1" applyFill="1" applyBorder="1" applyAlignment="1">
      <alignment horizontal="right" vertical="center"/>
    </xf>
    <xf numFmtId="0" fontId="66" fillId="2" borderId="3" xfId="0" applyFont="1" applyFill="1" applyBorder="1" applyAlignment="1">
      <alignment horizontal="right" vertical="center"/>
    </xf>
    <xf numFmtId="0" fontId="66"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68" fillId="11" borderId="6" xfId="0" applyFont="1" applyFill="1" applyBorder="1" applyAlignment="1"/>
    <xf numFmtId="0" fontId="68"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2" fillId="14" borderId="0" xfId="0" applyFont="1" applyFill="1" applyBorder="1"/>
    <xf numFmtId="0" fontId="62" fillId="14" borderId="0" xfId="0" applyFont="1" applyFill="1"/>
    <xf numFmtId="0" fontId="68" fillId="0" borderId="3" xfId="0" applyFont="1" applyBorder="1" applyAlignment="1">
      <alignment horizontal="right" vertical="center"/>
    </xf>
    <xf numFmtId="0" fontId="68" fillId="0" borderId="4" xfId="0" applyFont="1" applyBorder="1" applyAlignment="1">
      <alignment horizontal="right" vertical="center"/>
    </xf>
    <xf numFmtId="6" fontId="68"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6" fontId="68"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4" fillId="15" borderId="0" xfId="0" applyFont="1" applyFill="1" applyBorder="1" applyAlignment="1">
      <alignment horizontal="left" vertical="top"/>
    </xf>
    <xf numFmtId="166" fontId="7" fillId="19" borderId="0" xfId="0" applyNumberFormat="1" applyFont="1" applyFill="1"/>
    <xf numFmtId="0" fontId="67"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69" fillId="0" borderId="6" xfId="0" applyNumberFormat="1" applyFont="1" applyBorder="1"/>
    <xf numFmtId="2" fontId="70"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68"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7" fillId="14" borderId="0" xfId="0" applyNumberFormat="1" applyFont="1" applyFill="1"/>
    <xf numFmtId="0" fontId="7" fillId="0" borderId="0" xfId="0" applyFont="1" applyFill="1"/>
    <xf numFmtId="49" fontId="64" fillId="13" borderId="0" xfId="0" applyNumberFormat="1" applyFont="1" applyFill="1" applyAlignment="1"/>
    <xf numFmtId="6" fontId="68" fillId="0" borderId="0" xfId="0" applyNumberFormat="1" applyFont="1" applyBorder="1" applyAlignment="1">
      <alignment horizontal="right" vertical="center"/>
    </xf>
    <xf numFmtId="6" fontId="68"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2" fillId="13" borderId="0" xfId="0" applyFont="1" applyFill="1" applyAlignment="1"/>
    <xf numFmtId="43" fontId="62" fillId="13" borderId="0" xfId="0" applyNumberFormat="1" applyFont="1" applyFill="1" applyAlignment="1"/>
    <xf numFmtId="0" fontId="68" fillId="10" borderId="3" xfId="0" applyFont="1" applyFill="1" applyBorder="1" applyAlignment="1">
      <alignment horizontal="right" vertical="center"/>
    </xf>
    <xf numFmtId="0" fontId="68"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4" fillId="15" borderId="0" xfId="0" applyNumberFormat="1" applyFont="1" applyFill="1" applyProtection="1">
      <protection locked="0"/>
    </xf>
    <xf numFmtId="173" fontId="7" fillId="11" borderId="0" xfId="0" applyNumberFormat="1" applyFont="1" applyFill="1" applyAlignment="1">
      <alignment horizontal="center"/>
    </xf>
    <xf numFmtId="43" fontId="64" fillId="15" borderId="0" xfId="1" applyNumberFormat="1" applyFont="1" applyFill="1"/>
    <xf numFmtId="0" fontId="7" fillId="7" borderId="51" xfId="0" applyFont="1" applyFill="1" applyBorder="1"/>
    <xf numFmtId="44" fontId="71" fillId="6" borderId="0" xfId="0" applyNumberFormat="1" applyFont="1" applyFill="1" applyAlignment="1" applyProtection="1"/>
    <xf numFmtId="44" fontId="71"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2" fillId="23" borderId="0" xfId="0" applyFont="1" applyFill="1" applyProtection="1">
      <protection locked="0"/>
    </xf>
    <xf numFmtId="1" fontId="62"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2" fillId="23" borderId="0" xfId="0" applyNumberFormat="1" applyFont="1" applyFill="1" applyAlignment="1" applyProtection="1"/>
    <xf numFmtId="0" fontId="75" fillId="8" borderId="0" xfId="0" applyFont="1" applyFill="1"/>
    <xf numFmtId="0" fontId="74" fillId="8" borderId="0" xfId="0" applyFont="1" applyFill="1"/>
    <xf numFmtId="44" fontId="74" fillId="8" borderId="0" xfId="0" applyNumberFormat="1" applyFont="1" applyFill="1"/>
    <xf numFmtId="44" fontId="74" fillId="8" borderId="0" xfId="0" applyNumberFormat="1" applyFont="1" applyFill="1" applyAlignment="1" applyProtection="1"/>
    <xf numFmtId="0" fontId="4" fillId="8" borderId="0" xfId="0" applyFont="1" applyFill="1"/>
    <xf numFmtId="44" fontId="76" fillId="8" borderId="0" xfId="0" applyNumberFormat="1" applyFont="1" applyFill="1"/>
    <xf numFmtId="1" fontId="74" fillId="8" borderId="0" xfId="0" applyNumberFormat="1" applyFont="1" applyFill="1"/>
    <xf numFmtId="0" fontId="74" fillId="8" borderId="0" xfId="0" applyNumberFormat="1" applyFont="1" applyFill="1"/>
    <xf numFmtId="0" fontId="74" fillId="8" borderId="0" xfId="0" applyFont="1" applyFill="1" applyAlignment="1">
      <alignment horizontal="right"/>
    </xf>
    <xf numFmtId="0" fontId="74" fillId="8" borderId="0" xfId="0" applyFont="1" applyFill="1" applyBorder="1" applyAlignment="1" applyProtection="1">
      <alignment horizontal="center"/>
    </xf>
    <xf numFmtId="0" fontId="74" fillId="8" borderId="0" xfId="0" applyFont="1" applyFill="1" applyBorder="1" applyAlignment="1">
      <alignment horizontal="center"/>
    </xf>
    <xf numFmtId="9" fontId="74"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4"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2"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78" fillId="8" borderId="0" xfId="6" applyFont="1" applyFill="1" applyProtection="1"/>
    <xf numFmtId="0" fontId="78" fillId="8" borderId="0" xfId="6" applyFont="1" applyFill="1" applyAlignment="1" applyProtection="1">
      <alignment horizontal="center"/>
      <protection locked="0"/>
    </xf>
    <xf numFmtId="0" fontId="73" fillId="8" borderId="0" xfId="0" applyFont="1" applyFill="1" applyAlignment="1" applyProtection="1">
      <alignment horizontal="center"/>
    </xf>
    <xf numFmtId="44" fontId="63" fillId="8" borderId="0" xfId="0" applyNumberFormat="1" applyFont="1" applyFill="1" applyAlignment="1" applyProtection="1"/>
    <xf numFmtId="44" fontId="63"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0" fillId="8" borderId="0" xfId="0" applyFont="1" applyFill="1" applyProtection="1"/>
    <xf numFmtId="0" fontId="79" fillId="8" borderId="0" xfId="0" applyFont="1" applyFill="1" applyProtection="1"/>
    <xf numFmtId="0" fontId="81" fillId="8" borderId="0" xfId="0" applyFont="1" applyFill="1" applyProtection="1">
      <protection locked="0"/>
    </xf>
    <xf numFmtId="0" fontId="81" fillId="8" borderId="0" xfId="0" applyFont="1" applyFill="1" applyAlignment="1" applyProtection="1">
      <alignment horizontal="left"/>
      <protection locked="0"/>
    </xf>
    <xf numFmtId="15" fontId="81" fillId="8" borderId="0" xfId="0" applyNumberFormat="1" applyFont="1" applyFill="1" applyProtection="1">
      <protection locked="0"/>
    </xf>
    <xf numFmtId="0" fontId="82" fillId="8" borderId="0" xfId="0" applyFont="1" applyFill="1" applyProtection="1"/>
    <xf numFmtId="0" fontId="82" fillId="8" borderId="0" xfId="0" applyFont="1" applyFill="1" applyAlignment="1" applyProtection="1">
      <alignment horizontal="left"/>
    </xf>
    <xf numFmtId="0" fontId="83" fillId="8" borderId="0" xfId="0" applyFont="1" applyFill="1" applyProtection="1"/>
    <xf numFmtId="0" fontId="84" fillId="8" borderId="0" xfId="0" applyFont="1" applyFill="1" applyProtection="1"/>
    <xf numFmtId="0" fontId="85" fillId="8" borderId="0" xfId="0" applyFont="1" applyFill="1" applyAlignment="1" applyProtection="1">
      <alignment horizontal="center"/>
    </xf>
    <xf numFmtId="0" fontId="86" fillId="8" borderId="0" xfId="0" applyFont="1" applyFill="1" applyProtection="1"/>
    <xf numFmtId="0" fontId="87" fillId="8" borderId="0" xfId="0" applyFont="1" applyFill="1" applyAlignment="1" applyProtection="1">
      <alignment horizontal="left"/>
    </xf>
    <xf numFmtId="0" fontId="83" fillId="8" borderId="0" xfId="0" applyFont="1" applyFill="1" applyAlignment="1" applyProtection="1">
      <alignment wrapText="1"/>
    </xf>
    <xf numFmtId="0" fontId="83" fillId="8" borderId="0" xfId="0" applyFont="1" applyFill="1" applyAlignment="1" applyProtection="1">
      <alignment horizontal="center" wrapText="1"/>
    </xf>
    <xf numFmtId="0" fontId="88" fillId="8" borderId="0" xfId="0" applyFont="1" applyFill="1" applyAlignment="1" applyProtection="1">
      <alignment horizontal="left"/>
    </xf>
    <xf numFmtId="0" fontId="10" fillId="8" borderId="0" xfId="0" applyFont="1" applyFill="1" applyAlignment="1" applyProtection="1"/>
    <xf numFmtId="0" fontId="89" fillId="8" borderId="0" xfId="0" applyFont="1" applyFill="1"/>
    <xf numFmtId="0" fontId="79" fillId="8" borderId="0" xfId="0" applyFont="1" applyFill="1"/>
    <xf numFmtId="44" fontId="79" fillId="8" borderId="0" xfId="0" applyNumberFormat="1" applyFont="1" applyFill="1" applyAlignment="1">
      <alignment horizontal="center"/>
    </xf>
    <xf numFmtId="44" fontId="79" fillId="8" borderId="0" xfId="0" applyNumberFormat="1" applyFont="1" applyFill="1"/>
    <xf numFmtId="44" fontId="79" fillId="8" borderId="0" xfId="0" applyNumberFormat="1" applyFont="1" applyFill="1" applyAlignment="1" applyProtection="1"/>
    <xf numFmtId="0" fontId="79" fillId="8" borderId="0" xfId="0" applyFont="1" applyFill="1" applyAlignment="1"/>
    <xf numFmtId="0" fontId="90" fillId="8" borderId="0" xfId="0" applyFont="1" applyFill="1" applyAlignment="1" applyProtection="1">
      <alignment horizontal="center"/>
      <protection locked="0"/>
    </xf>
    <xf numFmtId="0" fontId="90" fillId="8" borderId="0" xfId="0" applyFont="1" applyFill="1" applyAlignment="1" applyProtection="1">
      <alignment horizontal="center"/>
    </xf>
    <xf numFmtId="0" fontId="90" fillId="8" borderId="0" xfId="0" applyFont="1" applyFill="1" applyProtection="1"/>
    <xf numFmtId="165" fontId="90" fillId="8" borderId="0" xfId="0" applyNumberFormat="1" applyFont="1" applyFill="1" applyProtection="1"/>
    <xf numFmtId="44" fontId="91" fillId="8" borderId="0" xfId="0" applyNumberFormat="1" applyFont="1" applyFill="1" applyAlignment="1" applyProtection="1">
      <alignment horizontal="center"/>
    </xf>
    <xf numFmtId="9" fontId="90" fillId="8" borderId="0" xfId="0" applyNumberFormat="1" applyFont="1" applyFill="1" applyProtection="1"/>
    <xf numFmtId="44" fontId="15" fillId="8" borderId="0" xfId="0" applyNumberFormat="1" applyFont="1" applyFill="1" applyAlignment="1" applyProtection="1">
      <protection locked="0"/>
    </xf>
    <xf numFmtId="44" fontId="83" fillId="8" borderId="0" xfId="0" applyNumberFormat="1" applyFont="1" applyFill="1" applyProtection="1"/>
    <xf numFmtId="44" fontId="83" fillId="8" borderId="0" xfId="0" applyNumberFormat="1" applyFont="1" applyFill="1" applyAlignment="1" applyProtection="1">
      <alignment horizontal="center"/>
    </xf>
    <xf numFmtId="44" fontId="83" fillId="8" borderId="0" xfId="0" applyNumberFormat="1" applyFont="1" applyFill="1" applyAlignment="1">
      <alignment horizontal="center"/>
    </xf>
    <xf numFmtId="9" fontId="4" fillId="8" borderId="0" xfId="130" applyFont="1" applyFill="1"/>
    <xf numFmtId="0" fontId="9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98" fillId="0" borderId="0" xfId="0" applyFont="1" applyAlignment="1">
      <alignment horizontal="left" vertical="center" wrapText="1"/>
    </xf>
    <xf numFmtId="0" fontId="99" fillId="0" borderId="2" xfId="0" applyFont="1" applyBorder="1" applyAlignment="1">
      <alignment vertical="center" wrapText="1"/>
    </xf>
    <xf numFmtId="0" fontId="100"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4" fillId="7" borderId="0" xfId="0" applyFont="1" applyFill="1" applyBorder="1" applyAlignment="1">
      <alignment horizontal="left" vertical="top"/>
    </xf>
    <xf numFmtId="0" fontId="64" fillId="7" borderId="0" xfId="0" applyFont="1" applyFill="1" applyBorder="1" applyAlignment="1">
      <alignment horizontal="left" vertical="top" wrapText="1"/>
    </xf>
    <xf numFmtId="44" fontId="64"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1" fillId="0" borderId="0" xfId="0" applyFont="1"/>
    <xf numFmtId="0" fontId="7" fillId="46" borderId="0" xfId="0" applyFont="1" applyFill="1"/>
    <xf numFmtId="0" fontId="7" fillId="20" borderId="0" xfId="0" applyFont="1" applyFill="1" applyBorder="1" applyAlignment="1"/>
    <xf numFmtId="0" fontId="102"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44" fontId="0" fillId="0" borderId="0" xfId="0" applyNumberFormat="1" applyFont="1"/>
    <xf numFmtId="173" fontId="0" fillId="0" borderId="0" xfId="0" applyNumberFormat="1" applyFont="1"/>
    <xf numFmtId="0" fontId="0" fillId="18" borderId="0" xfId="0" applyFill="1"/>
    <xf numFmtId="0" fontId="44" fillId="0" borderId="0" xfId="0" applyFont="1" applyFill="1" applyBorder="1" applyAlignment="1">
      <alignment horizontal="left" vertical="top" wrapText="1"/>
    </xf>
    <xf numFmtId="0" fontId="44" fillId="0" borderId="0" xfId="0" applyFont="1" applyFill="1" applyBorder="1" applyAlignment="1">
      <alignment horizontal="center" vertical="top" wrapText="1"/>
    </xf>
    <xf numFmtId="164" fontId="44" fillId="0" borderId="0" xfId="0" applyNumberFormat="1" applyFont="1" applyFill="1" applyProtection="1">
      <protection locked="0"/>
    </xf>
    <xf numFmtId="173" fontId="0" fillId="0" borderId="0" xfId="0" applyNumberFormat="1" applyFill="1" applyAlignment="1">
      <alignment horizontal="center"/>
    </xf>
    <xf numFmtId="0" fontId="61" fillId="0" borderId="0" xfId="0" applyFont="1" applyFill="1"/>
    <xf numFmtId="0" fontId="0" fillId="0" borderId="0" xfId="0" applyFill="1" applyAlignment="1">
      <alignment horizontal="center"/>
    </xf>
    <xf numFmtId="173" fontId="0" fillId="0" borderId="0" xfId="0" applyNumberFormat="1" applyFill="1"/>
    <xf numFmtId="0" fontId="11" fillId="0" borderId="0" xfId="0" applyFont="1" applyAlignment="1">
      <alignment horizontal="center"/>
    </xf>
    <xf numFmtId="173" fontId="11" fillId="0" borderId="0" xfId="0" applyNumberFormat="1" applyFont="1" applyAlignment="1">
      <alignment horizontal="center"/>
    </xf>
    <xf numFmtId="44" fontId="0" fillId="3" borderId="0" xfId="0" applyNumberFormat="1" applyFill="1"/>
    <xf numFmtId="0" fontId="7" fillId="0" borderId="0" xfId="0" applyFont="1" applyFill="1" applyAlignment="1">
      <alignment horizontal="center"/>
    </xf>
    <xf numFmtId="44" fontId="0" fillId="18" borderId="0" xfId="0" applyNumberFormat="1" applyFill="1"/>
    <xf numFmtId="0" fontId="7" fillId="8" borderId="0" xfId="0" applyFont="1" applyFill="1" applyAlignment="1">
      <alignment horizontal="center"/>
    </xf>
    <xf numFmtId="167" fontId="39" fillId="15" borderId="6" xfId="0" applyNumberFormat="1" applyFont="1" applyFill="1" applyBorder="1"/>
    <xf numFmtId="0" fontId="61" fillId="3" borderId="0" xfId="0" applyFont="1" applyFill="1"/>
    <xf numFmtId="0" fontId="20" fillId="0" borderId="0" xfId="0" applyFont="1" applyAlignment="1" applyProtection="1">
      <alignment wrapText="1"/>
    </xf>
    <xf numFmtId="0" fontId="0" fillId="0" borderId="0" xfId="0" applyAlignment="1" applyProtection="1"/>
    <xf numFmtId="0" fontId="22" fillId="0" borderId="0" xfId="0" applyFont="1" applyAlignment="1" applyProtection="1">
      <alignment horizontal="left"/>
      <protection locked="0"/>
    </xf>
    <xf numFmtId="0" fontId="20" fillId="0" borderId="0" xfId="0" applyFont="1" applyAlignment="1" applyProtection="1">
      <alignment horizontal="left"/>
      <protection locked="0"/>
    </xf>
    <xf numFmtId="0" fontId="20" fillId="0" borderId="0" xfId="0" applyFont="1" applyAlignment="1" applyProtection="1">
      <alignment horizontal="left" vertical="center" wrapText="1"/>
    </xf>
    <xf numFmtId="0" fontId="20" fillId="0" borderId="0" xfId="0" applyFont="1" applyAlignment="1" applyProtection="1"/>
    <xf numFmtId="0" fontId="22" fillId="0" borderId="0" xfId="0" applyFont="1" applyAlignment="1" applyProtection="1">
      <protection locked="0"/>
    </xf>
    <xf numFmtId="0" fontId="20" fillId="0" borderId="0" xfId="0" applyFont="1" applyAlignment="1" applyProtection="1">
      <protection locked="0"/>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0" fillId="0" borderId="0" xfId="0" applyAlignment="1"/>
    <xf numFmtId="0" fontId="21" fillId="0" borderId="0" xfId="0" applyFont="1" applyAlignment="1" applyProtection="1">
      <alignment wrapText="1"/>
    </xf>
    <xf numFmtId="0" fontId="21" fillId="0" borderId="0" xfId="0" applyFont="1" applyAlignment="1" applyProtection="1"/>
    <xf numFmtId="0" fontId="0" fillId="0" borderId="0" xfId="0" applyAlignment="1">
      <alignment horizontal="left"/>
    </xf>
    <xf numFmtId="0" fontId="0" fillId="0" borderId="0" xfId="0" applyAlignment="1">
      <alignment wrapText="1"/>
    </xf>
    <xf numFmtId="0" fontId="23" fillId="0" borderId="0" xfId="0" applyFont="1" applyAlignment="1" applyProtection="1">
      <alignment vertical="center" wrapText="1"/>
    </xf>
    <xf numFmtId="0" fontId="0" fillId="0" borderId="0" xfId="0" applyAlignment="1" applyProtection="1">
      <protection locked="0"/>
    </xf>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103" fillId="0" borderId="0" xfId="0" applyFont="1" applyAlignment="1">
      <alignment wrapText="1"/>
    </xf>
    <xf numFmtId="0" fontId="103" fillId="8" borderId="0" xfId="0" applyFont="1" applyFill="1" applyAlignment="1">
      <alignment wrapText="1"/>
    </xf>
    <xf numFmtId="0" fontId="0" fillId="8" borderId="0" xfId="0" applyFill="1" applyAlignment="1">
      <alignment wrapText="1"/>
    </xf>
    <xf numFmtId="0" fontId="0" fillId="0" borderId="0" xfId="0" applyAlignment="1" applyProtection="1">
      <alignment wrapText="1"/>
      <protection locked="0"/>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2" fillId="23" borderId="0" xfId="0" applyFont="1" applyFill="1" applyAlignment="1" applyProtection="1">
      <alignment horizontal="center"/>
      <protection locked="0"/>
    </xf>
    <xf numFmtId="0" fontId="83"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0"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79" fillId="8" borderId="0" xfId="0" applyFont="1" applyFill="1" applyAlignment="1"/>
    <xf numFmtId="0" fontId="86" fillId="8" borderId="0" xfId="0" applyFont="1" applyFill="1" applyAlignment="1">
      <alignment horizontal="right"/>
    </xf>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74" fillId="8" borderId="0" xfId="0" applyFont="1" applyFill="1" applyAlignment="1"/>
    <xf numFmtId="0" fontId="66"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88" fillId="8" borderId="0" xfId="0" applyFont="1" applyFill="1" applyAlignment="1" applyProtection="1">
      <alignment horizontal="center"/>
    </xf>
    <xf numFmtId="0" fontId="79" fillId="8" borderId="0" xfId="0" applyFont="1" applyFill="1" applyAlignment="1">
      <alignment horizontal="center"/>
    </xf>
    <xf numFmtId="0" fontId="77" fillId="8" borderId="0" xfId="6" applyFont="1" applyFill="1" applyAlignment="1" applyProtection="1">
      <protection locked="0"/>
    </xf>
    <xf numFmtId="0" fontId="49" fillId="8" borderId="0" xfId="0" applyFont="1" applyFill="1" applyAlignment="1" applyProtection="1">
      <alignment wrapText="1"/>
    </xf>
    <xf numFmtId="0" fontId="49"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48" fillId="0" borderId="0" xfId="0" applyFont="1" applyAlignment="1">
      <alignment wrapText="1"/>
    </xf>
  </cellXfs>
  <cellStyles count="149">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edrag, 0 decimalen" xfId="43" xr:uid="{00000000-0005-0000-0000-000024000000}"/>
    <cellStyle name="bedrag, 0 decimalen 2" xfId="44" xr:uid="{00000000-0005-0000-0000-000025000000}"/>
    <cellStyle name="bedrag, 0 decimalen 2 2" xfId="45" xr:uid="{00000000-0005-0000-0000-000026000000}"/>
    <cellStyle name="bedrag, 0 decimalen 3" xfId="46" xr:uid="{00000000-0005-0000-0000-000027000000}"/>
    <cellStyle name="bedrag, 0 decimalen 3 2" xfId="47" xr:uid="{00000000-0005-0000-0000-000028000000}"/>
    <cellStyle name="bedrag, 0 decimalen 4" xfId="48" xr:uid="{00000000-0005-0000-0000-000029000000}"/>
    <cellStyle name="Comma 2" xfId="49" xr:uid="{00000000-0005-0000-0000-00002A000000}"/>
    <cellStyle name="Comma 2 2" xfId="50" xr:uid="{00000000-0005-0000-0000-00002B000000}"/>
    <cellStyle name="Custom - Opmaakprofiel8" xfId="51" xr:uid="{00000000-0005-0000-0000-00002C000000}"/>
    <cellStyle name="Data   - Opmaakprofiel2" xfId="52" xr:uid="{00000000-0005-0000-0000-00002D000000}"/>
    <cellStyle name="Data   - Opmaakprofiel2 2" xfId="131" xr:uid="{00000000-0005-0000-0000-00002E000000}"/>
    <cellStyle name="Data   - Opmaakprofiel2 2 2" xfId="140" xr:uid="{00000000-0005-0000-0000-00002F000000}"/>
    <cellStyle name="Euro" xfId="53" xr:uid="{00000000-0005-0000-0000-000030000000}"/>
    <cellStyle name="Euro 2" xfId="54" xr:uid="{00000000-0005-0000-0000-000031000000}"/>
    <cellStyle name="Euro 3" xfId="55" xr:uid="{00000000-0005-0000-0000-000032000000}"/>
    <cellStyle name="Hyperlink" xfId="6" builtinId="8"/>
    <cellStyle name="Komma 2" xfId="5" xr:uid="{00000000-0005-0000-0000-000034000000}"/>
    <cellStyle name="Komma 2 2" xfId="56" xr:uid="{00000000-0005-0000-0000-000035000000}"/>
    <cellStyle name="Komma 3" xfId="57" xr:uid="{00000000-0005-0000-0000-000036000000}"/>
    <cellStyle name="Komma 4" xfId="58" xr:uid="{00000000-0005-0000-0000-000037000000}"/>
    <cellStyle name="Labels - Opmaakprofiel3" xfId="59" xr:uid="{00000000-0005-0000-0000-000038000000}"/>
    <cellStyle name="Labels - Opmaakprofiel3 2" xfId="132" xr:uid="{00000000-0005-0000-0000-000039000000}"/>
    <cellStyle name="Labels - Opmaakprofiel3 2 2" xfId="141" xr:uid="{00000000-0005-0000-0000-00003A000000}"/>
    <cellStyle name="Normal - Opmaakprofiel1" xfId="60" xr:uid="{00000000-0005-0000-0000-00003B000000}"/>
    <cellStyle name="Normal - Opmaakprofiel2" xfId="61" xr:uid="{00000000-0005-0000-0000-00003C000000}"/>
    <cellStyle name="Normal - Opmaakprofiel3" xfId="62" xr:uid="{00000000-0005-0000-0000-00003D000000}"/>
    <cellStyle name="Normal - Opmaakprofiel4" xfId="63" xr:uid="{00000000-0005-0000-0000-00003E000000}"/>
    <cellStyle name="Normal - Opmaakprofiel5" xfId="64" xr:uid="{00000000-0005-0000-0000-00003F000000}"/>
    <cellStyle name="Normal - Opmaakprofiel6" xfId="65" xr:uid="{00000000-0005-0000-0000-000040000000}"/>
    <cellStyle name="Normal - Opmaakprofiel7" xfId="66" xr:uid="{00000000-0005-0000-0000-000041000000}"/>
    <cellStyle name="Normal - Opmaakprofiel8" xfId="67" xr:uid="{00000000-0005-0000-0000-000042000000}"/>
    <cellStyle name="Normal 10" xfId="68" xr:uid="{00000000-0005-0000-0000-000043000000}"/>
    <cellStyle name="Normal 2" xfId="69" xr:uid="{00000000-0005-0000-0000-000044000000}"/>
    <cellStyle name="Normal 2 2" xfId="70" xr:uid="{00000000-0005-0000-0000-000045000000}"/>
    <cellStyle name="Normal 3" xfId="71" xr:uid="{00000000-0005-0000-0000-000046000000}"/>
    <cellStyle name="Normal 3 2" xfId="72" xr:uid="{00000000-0005-0000-0000-000047000000}"/>
    <cellStyle name="Normal 4" xfId="73" xr:uid="{00000000-0005-0000-0000-000048000000}"/>
    <cellStyle name="Normal 4 2" xfId="74" xr:uid="{00000000-0005-0000-0000-000049000000}"/>
    <cellStyle name="Normal 5" xfId="75" xr:uid="{00000000-0005-0000-0000-00004A000000}"/>
    <cellStyle name="Normal 5 2" xfId="76" xr:uid="{00000000-0005-0000-0000-00004B000000}"/>
    <cellStyle name="Normal 6" xfId="77" xr:uid="{00000000-0005-0000-0000-00004C000000}"/>
    <cellStyle name="Normal 6 2" xfId="78" xr:uid="{00000000-0005-0000-0000-00004D000000}"/>
    <cellStyle name="Normal 7" xfId="79" xr:uid="{00000000-0005-0000-0000-00004E000000}"/>
    <cellStyle name="Normal 7 2" xfId="80" xr:uid="{00000000-0005-0000-0000-00004F000000}"/>
    <cellStyle name="Normal 8" xfId="81" xr:uid="{00000000-0005-0000-0000-000050000000}"/>
    <cellStyle name="Normal 8 2" xfId="82" xr:uid="{00000000-0005-0000-0000-000051000000}"/>
    <cellStyle name="Normal 9" xfId="83" xr:uid="{00000000-0005-0000-0000-000052000000}"/>
    <cellStyle name="Normal 9 2" xfId="84" xr:uid="{00000000-0005-0000-0000-000053000000}"/>
    <cellStyle name="Notitie 2" xfId="85" xr:uid="{00000000-0005-0000-0000-000054000000}"/>
    <cellStyle name="Notitie 2 2" xfId="86" xr:uid="{00000000-0005-0000-0000-000055000000}"/>
    <cellStyle name="Notitie 2 2 2" xfId="87" xr:uid="{00000000-0005-0000-0000-000056000000}"/>
    <cellStyle name="Notitie 2 3" xfId="88" xr:uid="{00000000-0005-0000-0000-000057000000}"/>
    <cellStyle name="Notitie 2 3 2" xfId="89" xr:uid="{00000000-0005-0000-0000-000058000000}"/>
    <cellStyle name="Notitie 2 4" xfId="90" xr:uid="{00000000-0005-0000-0000-000059000000}"/>
    <cellStyle name="prijs, 2 decimalen" xfId="91" xr:uid="{00000000-0005-0000-0000-00005A000000}"/>
    <cellStyle name="prijs, 2 decimalen 2" xfId="92" xr:uid="{00000000-0005-0000-0000-00005B000000}"/>
    <cellStyle name="prijs, 2 decimalen 2 2" xfId="93" xr:uid="{00000000-0005-0000-0000-00005C000000}"/>
    <cellStyle name="prijs, 2 decimalen 3" xfId="94" xr:uid="{00000000-0005-0000-0000-00005D000000}"/>
    <cellStyle name="prijs, 2 decimalen 3 2" xfId="95" xr:uid="{00000000-0005-0000-0000-00005E000000}"/>
    <cellStyle name="prijs, 2 decimalen 4" xfId="96" xr:uid="{00000000-0005-0000-0000-00005F000000}"/>
    <cellStyle name="Procent" xfId="130" builtinId="5"/>
    <cellStyle name="Procent 2" xfId="97" xr:uid="{00000000-0005-0000-0000-000061000000}"/>
    <cellStyle name="Procent 3" xfId="98" xr:uid="{00000000-0005-0000-0000-000062000000}"/>
    <cellStyle name="Procent 4" xfId="99" xr:uid="{00000000-0005-0000-0000-000063000000}"/>
    <cellStyle name="Reset  - Opmaakprofiel7" xfId="100" xr:uid="{00000000-0005-0000-0000-000064000000}"/>
    <cellStyle name="Standaard" xfId="0" builtinId="0"/>
    <cellStyle name="Standaard 2" xfId="101" xr:uid="{00000000-0005-0000-0000-000066000000}"/>
    <cellStyle name="Standaard 2 2" xfId="2" xr:uid="{00000000-0005-0000-0000-000067000000}"/>
    <cellStyle name="Standaard 2 2 2" xfId="102" xr:uid="{00000000-0005-0000-0000-000068000000}"/>
    <cellStyle name="Standaard 2 2 3" xfId="103" xr:uid="{00000000-0005-0000-0000-000069000000}"/>
    <cellStyle name="Standaard 3" xfId="104" xr:uid="{00000000-0005-0000-0000-00006A000000}"/>
    <cellStyle name="Standaard 3 2" xfId="105" xr:uid="{00000000-0005-0000-0000-00006B000000}"/>
    <cellStyle name="Standaard 3 2 2" xfId="106" xr:uid="{00000000-0005-0000-0000-00006C000000}"/>
    <cellStyle name="Standaard 3 3" xfId="107" xr:uid="{00000000-0005-0000-0000-00006D000000}"/>
    <cellStyle name="Standaard 3 3 2" xfId="108" xr:uid="{00000000-0005-0000-0000-00006E000000}"/>
    <cellStyle name="Standaard 3 4" xfId="109" xr:uid="{00000000-0005-0000-0000-00006F000000}"/>
    <cellStyle name="Standaard 4" xfId="3" xr:uid="{00000000-0005-0000-0000-000070000000}"/>
    <cellStyle name="Standaard 4 2" xfId="4" xr:uid="{00000000-0005-0000-0000-000071000000}"/>
    <cellStyle name="Standaard 5" xfId="110" xr:uid="{00000000-0005-0000-0000-000072000000}"/>
    <cellStyle name="Standaard 6" xfId="111" xr:uid="{00000000-0005-0000-0000-000073000000}"/>
    <cellStyle name="Tabelstandaard" xfId="112" xr:uid="{00000000-0005-0000-0000-000074000000}"/>
    <cellStyle name="Tabelstandaard financieel" xfId="113" xr:uid="{00000000-0005-0000-0000-000075000000}"/>
    <cellStyle name="Tabelstandaard negatief" xfId="114" xr:uid="{00000000-0005-0000-0000-000076000000}"/>
    <cellStyle name="Tabelstandaard Totaal" xfId="115" xr:uid="{00000000-0005-0000-0000-000077000000}"/>
    <cellStyle name="Tabelstandaard Totaal 2" xfId="133" xr:uid="{00000000-0005-0000-0000-000078000000}"/>
    <cellStyle name="Tabelstandaard Totaal 2 2" xfId="142" xr:uid="{00000000-0005-0000-0000-000079000000}"/>
    <cellStyle name="Tabelstandaard Totaal Negatief" xfId="116" xr:uid="{00000000-0005-0000-0000-00007A000000}"/>
    <cellStyle name="Tabelstandaard Totaal Negatief 2" xfId="117" xr:uid="{00000000-0005-0000-0000-00007B000000}"/>
    <cellStyle name="Tabelstandaard Totaal Negatief 2 2" xfId="135" xr:uid="{00000000-0005-0000-0000-00007C000000}"/>
    <cellStyle name="Tabelstandaard Totaal Negatief 2 2 2" xfId="144" xr:uid="{00000000-0005-0000-0000-00007D000000}"/>
    <cellStyle name="Tabelstandaard Totaal Negatief 3" xfId="118" xr:uid="{00000000-0005-0000-0000-00007E000000}"/>
    <cellStyle name="Tabelstandaard Totaal Negatief 3 2" xfId="136" xr:uid="{00000000-0005-0000-0000-00007F000000}"/>
    <cellStyle name="Tabelstandaard Totaal Negatief 3 2 2" xfId="145" xr:uid="{00000000-0005-0000-0000-000080000000}"/>
    <cellStyle name="Tabelstandaard Totaal Negatief 4" xfId="119" xr:uid="{00000000-0005-0000-0000-000081000000}"/>
    <cellStyle name="Tabelstandaard Totaal Negatief 4 2" xfId="137" xr:uid="{00000000-0005-0000-0000-000082000000}"/>
    <cellStyle name="Tabelstandaard Totaal Negatief 4 2 2" xfId="146" xr:uid="{00000000-0005-0000-0000-000083000000}"/>
    <cellStyle name="Tabelstandaard Totaal Negatief 5" xfId="134" xr:uid="{00000000-0005-0000-0000-000084000000}"/>
    <cellStyle name="Tabelstandaard Totaal Negatief 5 2" xfId="143" xr:uid="{00000000-0005-0000-0000-000085000000}"/>
    <cellStyle name="Tabelstandaard Totaal_1077029755_GGZ-01c nacalculatieformulier ribw 2003 versie 040217(1)" xfId="120" xr:uid="{00000000-0005-0000-0000-000086000000}"/>
    <cellStyle name="Tabelstandaard_1077029755_GGZ-01c nacalculatieformulier ribw 2003 versie 040217(1)" xfId="121" xr:uid="{00000000-0005-0000-0000-000087000000}"/>
    <cellStyle name="Table  - Opmaakprofiel6" xfId="122" xr:uid="{00000000-0005-0000-0000-000088000000}"/>
    <cellStyle name="Table  - Opmaakprofiel6 2" xfId="138" xr:uid="{00000000-0005-0000-0000-000089000000}"/>
    <cellStyle name="Table  - Opmaakprofiel6 2 2" xfId="147" xr:uid="{00000000-0005-0000-0000-00008A000000}"/>
    <cellStyle name="Title  - Opmaakprofiel1" xfId="123" xr:uid="{00000000-0005-0000-0000-00008B000000}"/>
    <cellStyle name="Title 2" xfId="124" xr:uid="{00000000-0005-0000-0000-00008C000000}"/>
    <cellStyle name="TotCol - Opmaakprofiel5" xfId="125" xr:uid="{00000000-0005-0000-0000-00008D000000}"/>
    <cellStyle name="TotRow - Opmaakprofiel4" xfId="126" xr:uid="{00000000-0005-0000-0000-00008E000000}"/>
    <cellStyle name="TotRow - Opmaakprofiel4 2" xfId="139" xr:uid="{00000000-0005-0000-0000-00008F000000}"/>
    <cellStyle name="TotRow - Opmaakprofiel4 2 2" xfId="148" xr:uid="{00000000-0005-0000-0000-000090000000}"/>
    <cellStyle name="Valuta" xfId="1" builtinId="4"/>
    <cellStyle name="Valuta 2" xfId="127" xr:uid="{00000000-0005-0000-0000-000092000000}"/>
    <cellStyle name="Valuta 3" xfId="128" xr:uid="{00000000-0005-0000-0000-000093000000}"/>
    <cellStyle name="Valuta 4" xfId="129" xr:uid="{00000000-0005-0000-0000-000094000000}"/>
  </cellStyles>
  <dxfs count="130">
    <dxf>
      <font>
        <b/>
        <i val="0"/>
        <color rgb="FFFF0000"/>
      </font>
    </dxf>
    <dxf>
      <font>
        <b/>
        <i val="0"/>
        <color rgb="FFFF0000"/>
      </font>
    </dxf>
    <dxf>
      <font>
        <b/>
        <i val="0"/>
        <color rgb="FFCC0066"/>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220792</xdr:colOff>
      <xdr:row>0</xdr:row>
      <xdr:rowOff>40820</xdr:rowOff>
    </xdr:from>
    <xdr:to>
      <xdr:col>17</xdr:col>
      <xdr:colOff>1839660</xdr:colOff>
      <xdr:row>6</xdr:row>
      <xdr:rowOff>217714</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32086" y="40820"/>
          <a:ext cx="3195162" cy="1618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232"/>
  <sheetViews>
    <sheetView zoomScale="130" zoomScaleNormal="130" workbookViewId="0">
      <selection activeCell="F5" sqref="F5:K5"/>
    </sheetView>
  </sheetViews>
  <sheetFormatPr defaultColWidth="0" defaultRowHeight="15" zeroHeight="1" x14ac:dyDescent="0.25"/>
  <cols>
    <col min="1" max="1" width="4.7109375" style="46" customWidth="1"/>
    <col min="2" max="2" width="4" style="46" customWidth="1"/>
    <col min="3" max="3" width="1.28515625" style="46" customWidth="1"/>
    <col min="4" max="4" width="3.85546875" style="46" customWidth="1"/>
    <col min="5" max="5" width="1.28515625" style="46" customWidth="1"/>
    <col min="6" max="6" width="9.28515625" style="46" customWidth="1"/>
    <col min="7" max="7" width="3.28515625" style="46" customWidth="1"/>
    <col min="8" max="8" width="14.28515625" style="46" customWidth="1"/>
    <col min="9" max="9" width="9.28515625" style="46" customWidth="1"/>
    <col min="10" max="10" width="7.42578125" style="46" customWidth="1"/>
    <col min="11" max="11" width="11.42578125" style="46" customWidth="1"/>
    <col min="12" max="12" width="5.42578125" style="46" customWidth="1"/>
    <col min="13" max="13" width="15.28515625" style="46" customWidth="1"/>
    <col min="14" max="16384" width="9.28515625" style="46" hidden="1"/>
  </cols>
  <sheetData>
    <row r="1" spans="1:23" ht="26.25" x14ac:dyDescent="0.4">
      <c r="A1" s="443" t="s">
        <v>3512</v>
      </c>
      <c r="B1" s="444"/>
      <c r="C1" s="444"/>
      <c r="D1" s="444"/>
      <c r="E1" s="444"/>
      <c r="F1" s="444"/>
      <c r="G1" s="444"/>
      <c r="H1" s="444"/>
      <c r="I1" s="444"/>
      <c r="J1" s="444"/>
      <c r="K1" s="444"/>
      <c r="L1" s="444"/>
      <c r="M1" s="445"/>
    </row>
    <row r="2" spans="1:23" ht="15" customHeight="1" x14ac:dyDescent="0.4">
      <c r="A2" s="47"/>
      <c r="B2" s="48"/>
      <c r="C2" s="48"/>
      <c r="D2" s="48"/>
      <c r="E2" s="48"/>
      <c r="F2" s="48"/>
      <c r="G2" s="48"/>
      <c r="H2" s="48"/>
      <c r="I2" s="48"/>
      <c r="J2" s="48"/>
      <c r="K2" s="446" t="s">
        <v>3545</v>
      </c>
      <c r="L2" s="447"/>
      <c r="M2" s="55"/>
    </row>
    <row r="3" spans="1:23" ht="26.25" customHeight="1" x14ac:dyDescent="0.25">
      <c r="A3" s="435" t="s">
        <v>3513</v>
      </c>
      <c r="B3" s="440"/>
      <c r="C3" s="440"/>
      <c r="D3" s="440"/>
      <c r="E3" s="440"/>
      <c r="F3" s="440"/>
      <c r="G3" s="440"/>
      <c r="H3" s="440"/>
      <c r="I3" s="440"/>
      <c r="J3" s="440"/>
      <c r="K3" s="440"/>
      <c r="L3" s="440"/>
      <c r="M3" s="436"/>
      <c r="O3" s="404" t="s">
        <v>3530</v>
      </c>
      <c r="Q3" s="58"/>
      <c r="R3" s="59"/>
      <c r="S3" s="59"/>
      <c r="T3" s="59"/>
      <c r="U3" s="59"/>
    </row>
    <row r="4" spans="1:23" s="404" customFormat="1" ht="27.75" customHeight="1" x14ac:dyDescent="0.25">
      <c r="A4" s="402" t="s">
        <v>1717</v>
      </c>
      <c r="B4" s="403"/>
      <c r="C4" s="403"/>
      <c r="D4" s="403"/>
      <c r="E4" s="403"/>
      <c r="F4" s="403"/>
      <c r="G4" s="403"/>
      <c r="H4" s="403"/>
      <c r="I4" s="403"/>
      <c r="J4" s="403"/>
      <c r="K4" s="403"/>
      <c r="L4" s="403"/>
      <c r="M4" s="403"/>
      <c r="O4" s="404" t="s">
        <v>3535</v>
      </c>
    </row>
    <row r="5" spans="1:23" ht="17.25" customHeight="1" x14ac:dyDescent="0.25">
      <c r="A5" s="435" t="s">
        <v>1718</v>
      </c>
      <c r="B5" s="436"/>
      <c r="C5" s="436"/>
      <c r="D5" s="436"/>
      <c r="E5" s="55"/>
      <c r="F5" s="441" t="s">
        <v>1727</v>
      </c>
      <c r="G5" s="441"/>
      <c r="H5" s="442"/>
      <c r="I5" s="442"/>
      <c r="J5" s="442"/>
      <c r="K5" s="442"/>
      <c r="L5" s="56"/>
      <c r="M5" s="50"/>
      <c r="O5" s="46" t="s">
        <v>3531</v>
      </c>
      <c r="W5" s="46">
        <f>IF(F5="Klik hier om een tekst in te voeren",1,2)</f>
        <v>2</v>
      </c>
    </row>
    <row r="6" spans="1:23" ht="17.25" customHeight="1" x14ac:dyDescent="0.25">
      <c r="A6" s="435" t="s">
        <v>1719</v>
      </c>
      <c r="B6" s="436"/>
      <c r="C6" s="436"/>
      <c r="D6" s="436"/>
      <c r="E6" s="55"/>
      <c r="F6" s="437" t="s">
        <v>1727</v>
      </c>
      <c r="G6" s="437"/>
      <c r="H6" s="438"/>
      <c r="I6" s="438"/>
      <c r="J6" s="438"/>
      <c r="K6" s="438"/>
      <c r="L6" s="398"/>
      <c r="M6" s="50"/>
      <c r="O6" s="46" t="s">
        <v>3534</v>
      </c>
    </row>
    <row r="7" spans="1:23" s="413" customFormat="1" ht="17.25" customHeight="1" x14ac:dyDescent="0.25">
      <c r="A7" s="435" t="s">
        <v>3529</v>
      </c>
      <c r="B7" s="448"/>
      <c r="C7" s="448"/>
      <c r="D7" s="448"/>
      <c r="E7" s="415"/>
      <c r="F7" s="437" t="s">
        <v>3536</v>
      </c>
      <c r="G7" s="451"/>
      <c r="H7" s="451"/>
      <c r="I7" s="451"/>
      <c r="J7" s="451"/>
      <c r="K7" s="451"/>
      <c r="L7" s="416"/>
      <c r="M7" s="414"/>
      <c r="O7" s="413" t="s">
        <v>3532</v>
      </c>
    </row>
    <row r="8" spans="1:23" ht="17.25" customHeight="1" x14ac:dyDescent="0.25">
      <c r="L8" s="56"/>
      <c r="M8" s="50"/>
      <c r="O8" s="413" t="s">
        <v>3533</v>
      </c>
    </row>
    <row r="9" spans="1:23" s="404" customFormat="1" ht="27.75" customHeight="1" x14ac:dyDescent="0.25">
      <c r="A9" s="402" t="s">
        <v>3514</v>
      </c>
      <c r="B9" s="403"/>
      <c r="C9" s="403"/>
      <c r="D9" s="403"/>
      <c r="E9" s="403"/>
      <c r="F9" s="403"/>
      <c r="G9" s="403"/>
      <c r="H9" s="403"/>
      <c r="I9" s="403"/>
      <c r="J9" s="403"/>
      <c r="K9" s="403"/>
      <c r="L9" s="403"/>
      <c r="M9" s="403"/>
    </row>
    <row r="10" spans="1:23" x14ac:dyDescent="0.25">
      <c r="A10" s="439" t="s">
        <v>1699</v>
      </c>
      <c r="B10" s="440"/>
      <c r="C10" s="440"/>
      <c r="D10" s="440"/>
      <c r="E10" s="440"/>
      <c r="F10" s="440"/>
      <c r="G10" s="436"/>
      <c r="H10" s="441" t="s">
        <v>1726</v>
      </c>
      <c r="I10" s="442"/>
      <c r="J10" s="442"/>
      <c r="K10" s="442"/>
      <c r="L10" s="442"/>
      <c r="M10" s="50"/>
    </row>
    <row r="11" spans="1:23" x14ac:dyDescent="0.25">
      <c r="A11" s="440" t="s">
        <v>1700</v>
      </c>
      <c r="B11" s="440"/>
      <c r="C11" s="440"/>
      <c r="D11" s="440"/>
      <c r="E11" s="440"/>
      <c r="F11" s="440"/>
      <c r="G11" s="436"/>
      <c r="H11" s="437" t="s">
        <v>1726</v>
      </c>
      <c r="I11" s="438"/>
      <c r="J11" s="438"/>
      <c r="K11" s="438"/>
      <c r="L11" s="438"/>
      <c r="M11" s="50"/>
    </row>
    <row r="12" spans="1:23" x14ac:dyDescent="0.25">
      <c r="A12" s="440" t="s">
        <v>1701</v>
      </c>
      <c r="B12" s="440"/>
      <c r="C12" s="440"/>
      <c r="D12" s="440"/>
      <c r="E12" s="440"/>
      <c r="F12" s="440"/>
      <c r="G12" s="436"/>
      <c r="H12" s="437" t="s">
        <v>1726</v>
      </c>
      <c r="I12" s="438"/>
      <c r="J12" s="438"/>
      <c r="K12" s="438"/>
      <c r="L12" s="438"/>
      <c r="M12" s="50"/>
    </row>
    <row r="13" spans="1:23" x14ac:dyDescent="0.25">
      <c r="A13" s="440" t="s">
        <v>1773</v>
      </c>
      <c r="B13" s="440"/>
      <c r="C13" s="440"/>
      <c r="D13" s="440"/>
      <c r="E13" s="440"/>
      <c r="F13" s="440"/>
      <c r="G13" s="436"/>
      <c r="H13" s="441" t="s">
        <v>1726</v>
      </c>
      <c r="I13" s="442"/>
      <c r="J13" s="442"/>
      <c r="K13" s="442"/>
      <c r="L13" s="442"/>
      <c r="M13" s="50"/>
    </row>
    <row r="14" spans="1:23" x14ac:dyDescent="0.25"/>
    <row r="15" spans="1:23" ht="27.75" customHeight="1" x14ac:dyDescent="0.25">
      <c r="A15" s="405" t="s">
        <v>1702</v>
      </c>
      <c r="B15" s="49"/>
      <c r="C15" s="49"/>
      <c r="D15" s="49"/>
      <c r="E15" s="49"/>
      <c r="F15" s="49"/>
      <c r="G15" s="49"/>
      <c r="H15" s="49"/>
      <c r="I15" s="49"/>
      <c r="J15" s="49"/>
      <c r="K15" s="49"/>
      <c r="L15" s="49"/>
      <c r="M15" s="49"/>
    </row>
    <row r="16" spans="1:23" x14ac:dyDescent="0.25">
      <c r="A16" s="53" t="s">
        <v>1694</v>
      </c>
      <c r="B16" s="53" t="s">
        <v>1774</v>
      </c>
      <c r="C16" s="53"/>
      <c r="D16" s="50"/>
      <c r="E16" s="50"/>
      <c r="F16" s="50"/>
      <c r="G16" s="50"/>
      <c r="H16" s="50"/>
      <c r="I16" s="50"/>
      <c r="J16" s="50"/>
      <c r="K16" s="50"/>
      <c r="L16" s="50"/>
      <c r="M16" s="50"/>
    </row>
    <row r="17" spans="1:18" x14ac:dyDescent="0.25">
      <c r="A17" s="50"/>
      <c r="B17" s="44"/>
      <c r="C17" s="45"/>
      <c r="D17" s="50" t="s">
        <v>3515</v>
      </c>
      <c r="E17" s="50"/>
      <c r="F17" s="50"/>
      <c r="G17" s="50"/>
      <c r="H17" s="50"/>
      <c r="I17" s="50"/>
      <c r="J17" s="50"/>
      <c r="K17" s="50"/>
      <c r="L17" s="50"/>
      <c r="M17" s="50"/>
      <c r="O17" s="46">
        <f>IF(B17="x",1,0)</f>
        <v>0</v>
      </c>
    </row>
    <row r="18" spans="1:18" x14ac:dyDescent="0.25">
      <c r="A18" s="50"/>
      <c r="B18" s="44"/>
      <c r="C18" s="50"/>
      <c r="D18" s="50" t="s">
        <v>3516</v>
      </c>
      <c r="E18" s="50"/>
      <c r="F18" s="50"/>
      <c r="G18" s="50"/>
      <c r="H18" s="50"/>
      <c r="I18" s="50"/>
      <c r="J18" s="50"/>
      <c r="K18" s="50"/>
      <c r="L18" s="50"/>
      <c r="M18" s="50"/>
      <c r="O18" s="46">
        <f>IF(B18="x",1,0)</f>
        <v>0</v>
      </c>
      <c r="Q18" s="46">
        <f>SUM(O17:O21)</f>
        <v>0</v>
      </c>
      <c r="R18" s="46" t="str">
        <f>IF(Q18=0,"X","")</f>
        <v>X</v>
      </c>
    </row>
    <row r="19" spans="1:18" x14ac:dyDescent="0.25">
      <c r="A19" s="50"/>
      <c r="B19" s="44"/>
      <c r="C19" s="50"/>
      <c r="D19" s="50" t="s">
        <v>1775</v>
      </c>
      <c r="E19" s="50"/>
      <c r="F19" s="50"/>
      <c r="G19" s="50"/>
      <c r="H19" s="50"/>
      <c r="I19" s="50"/>
      <c r="J19" s="50"/>
      <c r="K19" s="50"/>
      <c r="L19" s="50"/>
      <c r="M19" s="50"/>
      <c r="O19" s="46">
        <f>IF(B19="x",1,0)</f>
        <v>0</v>
      </c>
    </row>
    <row r="20" spans="1:18" x14ac:dyDescent="0.25">
      <c r="A20" s="50"/>
      <c r="B20" s="44"/>
      <c r="C20" s="50"/>
      <c r="D20" s="50" t="s">
        <v>1776</v>
      </c>
      <c r="E20" s="50"/>
      <c r="F20" s="50"/>
      <c r="G20" s="50"/>
      <c r="H20" s="50"/>
      <c r="I20" s="50"/>
      <c r="J20" s="50"/>
      <c r="K20" s="50"/>
      <c r="L20" s="50"/>
      <c r="M20" s="50"/>
      <c r="O20" s="46">
        <f>IF(B20="x",1,0)</f>
        <v>0</v>
      </c>
    </row>
    <row r="21" spans="1:18" ht="15" customHeight="1" x14ac:dyDescent="0.25">
      <c r="A21" s="57"/>
      <c r="B21" s="410"/>
      <c r="C21" s="54"/>
      <c r="D21" s="435" t="s">
        <v>3538</v>
      </c>
      <c r="E21" s="452"/>
      <c r="F21" s="452"/>
      <c r="G21" s="452"/>
      <c r="H21" s="452"/>
      <c r="I21" s="452"/>
      <c r="J21" s="452"/>
      <c r="K21" s="452"/>
      <c r="L21" s="452"/>
      <c r="M21" s="55"/>
      <c r="O21" s="46">
        <f>IF(B21="x",1,0)</f>
        <v>0</v>
      </c>
    </row>
    <row r="22" spans="1:18" ht="12" customHeight="1" x14ac:dyDescent="0.25">
      <c r="A22" s="400"/>
      <c r="B22" s="407"/>
      <c r="C22" s="397"/>
      <c r="D22" s="397"/>
      <c r="E22" s="401"/>
      <c r="F22" s="401"/>
      <c r="G22" s="401"/>
      <c r="H22" s="401"/>
      <c r="I22" s="401"/>
      <c r="J22" s="401"/>
      <c r="K22" s="401"/>
      <c r="L22" s="397"/>
      <c r="M22" s="399"/>
    </row>
    <row r="23" spans="1:18" ht="12" customHeight="1" x14ac:dyDescent="0.25">
      <c r="A23" s="453" t="s">
        <v>3518</v>
      </c>
      <c r="B23" s="448"/>
      <c r="C23" s="448"/>
      <c r="D23" s="448"/>
      <c r="E23" s="448"/>
      <c r="F23" s="448"/>
      <c r="G23" s="448"/>
      <c r="H23" s="448"/>
      <c r="I23" s="448"/>
      <c r="J23" s="448"/>
      <c r="K23" s="448"/>
      <c r="L23" s="448"/>
      <c r="M23" s="448"/>
    </row>
    <row r="24" spans="1:18" ht="12" customHeight="1" x14ac:dyDescent="0.25"/>
    <row r="25" spans="1:18" ht="29.25" customHeight="1" x14ac:dyDescent="0.25">
      <c r="A25" s="51" t="s">
        <v>1703</v>
      </c>
      <c r="B25" s="449" t="s">
        <v>3519</v>
      </c>
      <c r="C25" s="449"/>
      <c r="D25" s="449"/>
      <c r="E25" s="449"/>
      <c r="F25" s="449"/>
      <c r="G25" s="449"/>
      <c r="H25" s="449"/>
      <c r="I25" s="449"/>
      <c r="J25" s="449"/>
      <c r="K25" s="449"/>
      <c r="L25" s="449"/>
      <c r="M25" s="448"/>
    </row>
    <row r="26" spans="1:18" x14ac:dyDescent="0.25">
      <c r="A26" s="50"/>
      <c r="B26" s="44"/>
      <c r="C26" s="50"/>
      <c r="D26" s="406" t="s">
        <v>3517</v>
      </c>
      <c r="E26" s="50"/>
      <c r="F26" s="50"/>
      <c r="G26" s="50"/>
      <c r="H26" s="50"/>
      <c r="I26" s="50"/>
      <c r="J26" s="50"/>
      <c r="K26" s="50"/>
      <c r="L26" s="50"/>
      <c r="M26" s="50"/>
      <c r="O26" s="46">
        <f>IF(B26="x",1,0)</f>
        <v>0</v>
      </c>
      <c r="Q26" s="46">
        <f>SUM(O25:O28)</f>
        <v>0</v>
      </c>
      <c r="R26" s="46" t="str">
        <f>IF(Q26=0,"X","")</f>
        <v>X</v>
      </c>
    </row>
    <row r="27" spans="1:18" x14ac:dyDescent="0.25">
      <c r="A27" s="50"/>
      <c r="B27" s="44"/>
      <c r="C27" s="50"/>
      <c r="D27" s="50" t="s">
        <v>1704</v>
      </c>
      <c r="E27" s="50"/>
      <c r="F27" s="50"/>
      <c r="G27" s="50"/>
      <c r="H27" s="50"/>
      <c r="I27" s="50"/>
      <c r="J27" s="50"/>
      <c r="K27" s="50"/>
      <c r="L27" s="50"/>
      <c r="M27" s="50"/>
      <c r="O27" s="46">
        <f>IF(B27="x",1,0)</f>
        <v>0</v>
      </c>
    </row>
    <row r="28" spans="1:18" x14ac:dyDescent="0.25">
      <c r="A28" s="50"/>
      <c r="B28" s="44"/>
      <c r="C28" s="50"/>
      <c r="D28" s="50" t="s">
        <v>1705</v>
      </c>
      <c r="E28" s="50"/>
      <c r="F28" s="50"/>
      <c r="G28" s="50"/>
      <c r="H28" s="50"/>
      <c r="I28" s="50"/>
      <c r="J28" s="50"/>
      <c r="K28" s="50"/>
      <c r="L28" s="50"/>
      <c r="M28" s="50"/>
      <c r="O28" s="46">
        <f>IF(B28="X",1,0)</f>
        <v>0</v>
      </c>
    </row>
    <row r="29" spans="1:18" x14ac:dyDescent="0.25">
      <c r="A29" s="50"/>
      <c r="B29" s="45"/>
      <c r="C29" s="50"/>
      <c r="D29" s="50" t="s">
        <v>1725</v>
      </c>
      <c r="E29" s="50"/>
      <c r="F29" s="50"/>
      <c r="G29" s="442"/>
      <c r="H29" s="454"/>
      <c r="I29" s="454"/>
      <c r="J29" s="454"/>
      <c r="K29" s="454"/>
      <c r="L29" s="454"/>
      <c r="M29" s="454"/>
    </row>
    <row r="30" spans="1:18" x14ac:dyDescent="0.25">
      <c r="A30" s="50"/>
      <c r="B30" s="50"/>
      <c r="C30" s="50"/>
      <c r="D30" s="50"/>
      <c r="E30" s="50"/>
      <c r="F30" s="50"/>
      <c r="G30" s="454"/>
      <c r="H30" s="454"/>
      <c r="I30" s="454"/>
      <c r="J30" s="454"/>
      <c r="K30" s="454"/>
      <c r="L30" s="454"/>
      <c r="M30" s="454"/>
    </row>
    <row r="31" spans="1:18" x14ac:dyDescent="0.25">
      <c r="A31" s="50"/>
      <c r="B31" s="50"/>
      <c r="C31" s="50"/>
      <c r="D31" s="50"/>
      <c r="E31" s="50"/>
      <c r="F31" s="50"/>
      <c r="G31" s="454"/>
      <c r="H31" s="454"/>
      <c r="I31" s="454"/>
      <c r="J31" s="454"/>
      <c r="K31" s="454"/>
      <c r="L31" s="454"/>
      <c r="M31" s="454"/>
    </row>
    <row r="32" spans="1:18" x14ac:dyDescent="0.25">
      <c r="A32" s="53" t="s">
        <v>1707</v>
      </c>
      <c r="B32" s="450" t="s">
        <v>1706</v>
      </c>
      <c r="C32" s="450"/>
      <c r="D32" s="450"/>
      <c r="E32" s="450"/>
      <c r="F32" s="450"/>
      <c r="G32" s="450"/>
      <c r="H32" s="450"/>
      <c r="I32" s="450"/>
      <c r="J32" s="450"/>
      <c r="K32" s="450"/>
      <c r="L32" s="450"/>
      <c r="M32" s="440"/>
    </row>
    <row r="33" spans="1:21" x14ac:dyDescent="0.25">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25">
      <c r="A34" s="50"/>
      <c r="B34" s="44"/>
      <c r="C34" s="50"/>
      <c r="D34" s="50" t="s">
        <v>3539</v>
      </c>
      <c r="E34" s="50"/>
      <c r="F34" s="50"/>
      <c r="G34" s="50"/>
      <c r="H34" s="50"/>
      <c r="I34" s="50"/>
      <c r="J34" s="50"/>
      <c r="K34" s="50"/>
      <c r="L34" s="50"/>
      <c r="M34" s="50"/>
      <c r="O34" s="46">
        <f>IF(B34="x",1,0)</f>
        <v>0</v>
      </c>
    </row>
    <row r="35" spans="1:21" x14ac:dyDescent="0.25">
      <c r="A35" s="50"/>
      <c r="B35" s="45"/>
      <c r="C35" s="50"/>
      <c r="D35" s="44"/>
      <c r="E35" s="50"/>
      <c r="F35" s="435" t="s">
        <v>3527</v>
      </c>
      <c r="G35" s="435"/>
      <c r="H35" s="436"/>
      <c r="I35" s="436"/>
      <c r="J35" s="436"/>
      <c r="K35" s="436"/>
      <c r="L35" s="436"/>
      <c r="M35" s="50"/>
      <c r="R35" s="46">
        <f>IF(B34="X",1,0)</f>
        <v>0</v>
      </c>
      <c r="S35" s="46">
        <f>IF(D35="X",0,1)</f>
        <v>1</v>
      </c>
      <c r="U35" s="46" t="str">
        <f>IF(R35+S44=7,"X","")</f>
        <v/>
      </c>
    </row>
    <row r="36" spans="1:21" ht="13.5" customHeight="1" x14ac:dyDescent="0.25">
      <c r="A36" s="50"/>
      <c r="B36" s="50"/>
      <c r="C36" s="50"/>
      <c r="D36" s="50"/>
      <c r="E36" s="50"/>
      <c r="F36" s="436"/>
      <c r="G36" s="436"/>
      <c r="H36" s="436"/>
      <c r="I36" s="436"/>
      <c r="J36" s="436"/>
      <c r="K36" s="436"/>
      <c r="L36" s="436"/>
      <c r="M36" s="50"/>
    </row>
    <row r="37" spans="1:21" ht="13.5" customHeight="1" x14ac:dyDescent="0.25">
      <c r="A37" s="50"/>
      <c r="B37" s="50"/>
      <c r="C37" s="50"/>
      <c r="D37" s="44"/>
      <c r="E37" s="50"/>
      <c r="F37" s="435" t="s">
        <v>3528</v>
      </c>
      <c r="G37" s="435"/>
      <c r="H37" s="436"/>
      <c r="I37" s="436"/>
      <c r="J37" s="436"/>
      <c r="K37" s="436"/>
      <c r="L37" s="436"/>
      <c r="M37" s="50"/>
      <c r="S37" s="46">
        <f>IF(D37="X",0,1)</f>
        <v>1</v>
      </c>
    </row>
    <row r="38" spans="1:21" ht="14.25" customHeight="1" x14ac:dyDescent="0.25">
      <c r="A38" s="50"/>
      <c r="B38" s="50"/>
      <c r="C38" s="50"/>
      <c r="D38" s="50"/>
      <c r="E38" s="50"/>
      <c r="F38" s="436"/>
      <c r="G38" s="436"/>
      <c r="H38" s="436"/>
      <c r="I38" s="436"/>
      <c r="J38" s="436"/>
      <c r="K38" s="436"/>
      <c r="L38" s="436"/>
      <c r="M38" s="50"/>
    </row>
    <row r="39" spans="1:21" ht="15" customHeight="1" x14ac:dyDescent="0.25">
      <c r="A39" s="50"/>
      <c r="B39" s="50"/>
      <c r="C39" s="50"/>
      <c r="D39" s="44"/>
      <c r="E39" s="50"/>
      <c r="F39" s="435" t="s">
        <v>3540</v>
      </c>
      <c r="G39" s="435"/>
      <c r="H39" s="436"/>
      <c r="I39" s="436"/>
      <c r="J39" s="436"/>
      <c r="K39" s="436"/>
      <c r="L39" s="436"/>
      <c r="M39" s="50"/>
      <c r="S39" s="46">
        <f>IF(D39="X",0,1)</f>
        <v>1</v>
      </c>
    </row>
    <row r="40" spans="1:21" ht="15.75" customHeight="1" x14ac:dyDescent="0.25">
      <c r="A40" s="50"/>
      <c r="B40" s="50"/>
      <c r="C40" s="50"/>
      <c r="D40" s="50"/>
      <c r="E40" s="50"/>
      <c r="F40" s="436"/>
      <c r="G40" s="436"/>
      <c r="H40" s="436"/>
      <c r="I40" s="436"/>
      <c r="J40" s="436"/>
      <c r="K40" s="436"/>
      <c r="L40" s="436"/>
      <c r="M40" s="50"/>
    </row>
    <row r="41" spans="1:21" ht="15.75" customHeight="1" x14ac:dyDescent="0.25">
      <c r="A41" s="50"/>
      <c r="B41" s="50"/>
      <c r="C41" s="50"/>
      <c r="D41" s="44"/>
      <c r="E41" s="50"/>
      <c r="F41" s="435" t="s">
        <v>3542</v>
      </c>
      <c r="G41" s="435"/>
      <c r="H41" s="436"/>
      <c r="I41" s="436"/>
      <c r="J41" s="436"/>
      <c r="K41" s="436"/>
      <c r="L41" s="436"/>
      <c r="M41" s="50"/>
      <c r="S41" s="46">
        <f>IF(D41="X",0,1)</f>
        <v>1</v>
      </c>
    </row>
    <row r="42" spans="1:21" ht="12.75" customHeight="1" x14ac:dyDescent="0.25">
      <c r="A42" s="50"/>
      <c r="B42" s="50"/>
      <c r="C42" s="50"/>
      <c r="D42" s="50"/>
      <c r="E42" s="50"/>
      <c r="F42" s="436"/>
      <c r="G42" s="436"/>
      <c r="H42" s="436"/>
      <c r="I42" s="436"/>
      <c r="J42" s="436"/>
      <c r="K42" s="436"/>
      <c r="L42" s="436"/>
      <c r="M42" s="50"/>
      <c r="S42" s="46">
        <f>IF(D43="X",0,1)</f>
        <v>1</v>
      </c>
    </row>
    <row r="43" spans="1:21" ht="12.75" customHeight="1" x14ac:dyDescent="0.25">
      <c r="A43" s="50"/>
      <c r="B43" s="50"/>
      <c r="C43" s="50"/>
      <c r="D43" s="44"/>
      <c r="E43" s="50"/>
      <c r="F43" s="457" t="s">
        <v>3541</v>
      </c>
      <c r="G43" s="448"/>
      <c r="H43" s="448"/>
      <c r="I43" s="448"/>
      <c r="J43" s="448"/>
      <c r="K43" s="448"/>
      <c r="L43" s="448"/>
      <c r="M43" s="50"/>
      <c r="S43" s="46">
        <f>IF(D45="X",0,1)</f>
        <v>1</v>
      </c>
    </row>
    <row r="44" spans="1:21" ht="27.75" customHeight="1" x14ac:dyDescent="0.25">
      <c r="A44" s="50"/>
      <c r="B44" s="50"/>
      <c r="C44" s="50"/>
      <c r="D44" s="408"/>
      <c r="E44" s="50"/>
      <c r="F44" s="452"/>
      <c r="G44" s="448"/>
      <c r="H44" s="448"/>
      <c r="I44" s="448"/>
      <c r="J44" s="448"/>
      <c r="K44" s="448"/>
      <c r="L44" s="448"/>
      <c r="M44" s="50"/>
      <c r="S44" s="46">
        <f>SUM(S35:S43)</f>
        <v>6</v>
      </c>
    </row>
    <row r="45" spans="1:21" ht="12.75" customHeight="1" x14ac:dyDescent="0.25">
      <c r="A45" s="50"/>
      <c r="B45" s="50"/>
      <c r="C45" s="50"/>
      <c r="D45" s="44"/>
      <c r="E45" s="50"/>
      <c r="F45" s="458" t="s">
        <v>3543</v>
      </c>
      <c r="G45" s="459"/>
      <c r="H45" s="459"/>
      <c r="I45" s="459"/>
      <c r="J45" s="459"/>
      <c r="K45" s="459"/>
      <c r="L45" s="459"/>
      <c r="M45" s="50"/>
    </row>
    <row r="46" spans="1:21" ht="27" customHeight="1" x14ac:dyDescent="0.25">
      <c r="A46" s="50"/>
      <c r="B46" s="50"/>
      <c r="C46" s="50"/>
      <c r="D46" s="408"/>
      <c r="E46" s="50"/>
      <c r="F46" s="459"/>
      <c r="G46" s="459"/>
      <c r="H46" s="459"/>
      <c r="I46" s="459"/>
      <c r="J46" s="459"/>
      <c r="K46" s="459"/>
      <c r="L46" s="459"/>
      <c r="M46" s="50"/>
    </row>
    <row r="47" spans="1:21" ht="12.75" customHeight="1" x14ac:dyDescent="0.25">
      <c r="A47" s="50"/>
      <c r="B47" s="50"/>
      <c r="C47" s="50"/>
      <c r="D47" s="50" t="s">
        <v>1725</v>
      </c>
      <c r="E47" s="50"/>
      <c r="F47" s="50"/>
      <c r="G47" s="442"/>
      <c r="H47" s="454"/>
      <c r="I47" s="454"/>
      <c r="J47" s="454"/>
      <c r="K47" s="454"/>
      <c r="L47" s="454"/>
      <c r="M47" s="454"/>
    </row>
    <row r="48" spans="1:21" ht="12.75" customHeight="1" x14ac:dyDescent="0.25">
      <c r="A48" s="50"/>
      <c r="B48" s="50"/>
      <c r="C48" s="50"/>
      <c r="D48" s="50"/>
      <c r="E48" s="50"/>
      <c r="F48" s="50"/>
      <c r="G48" s="454"/>
      <c r="H48" s="454"/>
      <c r="I48" s="454"/>
      <c r="J48" s="454"/>
      <c r="K48" s="454"/>
      <c r="L48" s="454"/>
      <c r="M48" s="454"/>
    </row>
    <row r="49" spans="1:18" ht="12.75" customHeight="1" x14ac:dyDescent="0.25">
      <c r="A49" s="50"/>
      <c r="B49" s="50"/>
      <c r="C49" s="50"/>
      <c r="D49" s="50"/>
      <c r="E49" s="50"/>
      <c r="F49" s="50"/>
      <c r="G49" s="454"/>
      <c r="H49" s="454"/>
      <c r="I49" s="454"/>
      <c r="J49" s="454"/>
      <c r="K49" s="454"/>
      <c r="L49" s="454"/>
      <c r="M49" s="454"/>
    </row>
    <row r="50" spans="1:18" ht="15" customHeight="1" x14ac:dyDescent="0.25">
      <c r="A50" s="53" t="s">
        <v>3522</v>
      </c>
      <c r="B50" s="53" t="s">
        <v>3525</v>
      </c>
      <c r="C50" s="53"/>
      <c r="D50" s="50"/>
      <c r="E50" s="50"/>
      <c r="F50" s="50"/>
      <c r="G50" s="50"/>
      <c r="H50" s="50"/>
      <c r="I50" s="50"/>
      <c r="J50" s="50"/>
      <c r="K50" s="50"/>
      <c r="L50" s="50"/>
      <c r="M50" s="50"/>
    </row>
    <row r="51" spans="1:18" x14ac:dyDescent="0.25">
      <c r="A51" s="50"/>
      <c r="B51" s="44"/>
      <c r="C51" s="50"/>
      <c r="D51" s="50" t="s">
        <v>1709</v>
      </c>
      <c r="E51" s="50"/>
      <c r="F51" s="50"/>
      <c r="G51" s="50"/>
      <c r="H51" s="50"/>
      <c r="I51" s="50"/>
      <c r="J51" s="50"/>
      <c r="K51" s="50"/>
      <c r="L51" s="50"/>
      <c r="M51" s="50"/>
      <c r="O51" s="46">
        <f>IF(B51="x",1,0)</f>
        <v>0</v>
      </c>
    </row>
    <row r="52" spans="1:18" x14ac:dyDescent="0.25">
      <c r="A52" s="50"/>
      <c r="B52" s="409"/>
      <c r="C52" s="50"/>
      <c r="D52" s="411" t="s">
        <v>3526</v>
      </c>
      <c r="E52" s="50"/>
      <c r="F52" s="50"/>
      <c r="G52" s="50"/>
      <c r="H52" s="50"/>
      <c r="I52" s="50"/>
      <c r="J52" s="50"/>
      <c r="K52" s="50"/>
      <c r="L52" s="50"/>
      <c r="M52" s="50"/>
      <c r="O52" s="413">
        <f>IF(B52="x",1,0)</f>
        <v>0</v>
      </c>
    </row>
    <row r="53" spans="1:18" x14ac:dyDescent="0.25">
      <c r="A53" s="50"/>
      <c r="B53" s="44"/>
      <c r="C53" s="50"/>
      <c r="D53" s="50" t="s">
        <v>1710</v>
      </c>
      <c r="E53" s="50"/>
      <c r="F53" s="50"/>
      <c r="G53" s="50"/>
      <c r="H53" s="50"/>
      <c r="I53" s="50"/>
      <c r="J53" s="50"/>
      <c r="K53" s="50"/>
      <c r="L53" s="50"/>
      <c r="M53" s="50"/>
      <c r="O53" s="46">
        <f>IF(B53="x",1,0)</f>
        <v>0</v>
      </c>
      <c r="Q53" s="46">
        <f>SUM(O51:O55)</f>
        <v>0</v>
      </c>
      <c r="R53" s="46" t="str">
        <f>IF(Q53=0,"X","")</f>
        <v>X</v>
      </c>
    </row>
    <row r="54" spans="1:18" x14ac:dyDescent="0.25">
      <c r="A54" s="50"/>
      <c r="B54" s="44"/>
      <c r="C54" s="50"/>
      <c r="D54" s="50" t="s">
        <v>1785</v>
      </c>
      <c r="E54" s="50"/>
      <c r="F54" s="50"/>
      <c r="G54" s="50"/>
      <c r="H54" s="50"/>
      <c r="I54" s="50"/>
      <c r="J54" s="50"/>
      <c r="K54" s="50"/>
      <c r="L54" s="50"/>
      <c r="M54" s="50"/>
      <c r="O54" s="46">
        <f>IF(B54="x",1,0)</f>
        <v>0</v>
      </c>
    </row>
    <row r="55" spans="1:18" x14ac:dyDescent="0.25">
      <c r="A55" s="50"/>
      <c r="B55" s="44"/>
      <c r="C55" s="50"/>
      <c r="D55" s="50" t="s">
        <v>1711</v>
      </c>
      <c r="E55" s="50"/>
      <c r="F55" s="50"/>
      <c r="G55" s="50"/>
      <c r="H55" s="50"/>
      <c r="I55" s="50"/>
      <c r="J55" s="50"/>
      <c r="K55" s="50"/>
      <c r="L55" s="50"/>
      <c r="M55" s="50"/>
      <c r="O55" s="46">
        <f>IF(B55="X",1,0)</f>
        <v>0</v>
      </c>
    </row>
    <row r="56" spans="1:18" x14ac:dyDescent="0.25">
      <c r="A56" s="50"/>
      <c r="B56" s="45"/>
      <c r="C56" s="50"/>
      <c r="D56" s="50" t="s">
        <v>1725</v>
      </c>
      <c r="E56" s="50"/>
      <c r="F56" s="50"/>
      <c r="G56" s="442"/>
      <c r="H56" s="454"/>
      <c r="I56" s="454"/>
      <c r="J56" s="454"/>
      <c r="K56" s="454"/>
      <c r="L56" s="454"/>
      <c r="M56" s="454"/>
    </row>
    <row r="57" spans="1:18" x14ac:dyDescent="0.25">
      <c r="A57" s="50"/>
      <c r="B57" s="45"/>
      <c r="C57" s="50"/>
      <c r="D57" s="50"/>
      <c r="E57" s="50"/>
      <c r="F57" s="50"/>
      <c r="G57" s="454"/>
      <c r="H57" s="454"/>
      <c r="I57" s="454"/>
      <c r="J57" s="454"/>
      <c r="K57" s="454"/>
      <c r="L57" s="454"/>
      <c r="M57" s="454"/>
    </row>
    <row r="58" spans="1:18" x14ac:dyDescent="0.25">
      <c r="A58" s="50"/>
      <c r="B58" s="45"/>
      <c r="C58" s="50"/>
      <c r="D58" s="50"/>
      <c r="E58" s="50"/>
      <c r="F58" s="50"/>
      <c r="G58" s="454"/>
      <c r="H58" s="454"/>
      <c r="I58" s="454"/>
      <c r="J58" s="454"/>
      <c r="K58" s="454"/>
      <c r="L58" s="454"/>
      <c r="M58" s="454"/>
    </row>
    <row r="59" spans="1:18" x14ac:dyDescent="0.25">
      <c r="A59" s="53" t="s">
        <v>3523</v>
      </c>
      <c r="B59" s="53" t="s">
        <v>1712</v>
      </c>
      <c r="C59" s="53"/>
      <c r="D59" s="50"/>
      <c r="E59" s="50"/>
      <c r="F59" s="50"/>
      <c r="G59" s="50"/>
      <c r="H59" s="50"/>
      <c r="I59" s="50"/>
      <c r="J59" s="50"/>
      <c r="K59" s="50"/>
      <c r="L59" s="50"/>
      <c r="M59" s="50"/>
    </row>
    <row r="60" spans="1:18" x14ac:dyDescent="0.25">
      <c r="A60" s="50"/>
      <c r="B60" s="44"/>
      <c r="C60" s="50"/>
      <c r="D60" s="50" t="s">
        <v>1713</v>
      </c>
      <c r="E60" s="50"/>
      <c r="F60" s="50"/>
      <c r="G60" s="50"/>
      <c r="H60" s="50"/>
      <c r="I60" s="50"/>
      <c r="J60" s="50"/>
      <c r="K60" s="50"/>
      <c r="L60" s="50"/>
      <c r="M60" s="50"/>
      <c r="O60" s="46">
        <f>IF(B60="x",1,0)</f>
        <v>0</v>
      </c>
    </row>
    <row r="61" spans="1:18" x14ac:dyDescent="0.25">
      <c r="A61" s="50"/>
      <c r="B61" s="44"/>
      <c r="C61" s="50"/>
      <c r="D61" s="50" t="s">
        <v>1714</v>
      </c>
      <c r="E61" s="50"/>
      <c r="F61" s="50"/>
      <c r="G61" s="50"/>
      <c r="H61" s="50"/>
      <c r="I61" s="50"/>
      <c r="J61" s="50"/>
      <c r="K61" s="50"/>
      <c r="L61" s="50"/>
      <c r="M61" s="50"/>
      <c r="O61" s="46">
        <f>IF(B61="x",1,0)</f>
        <v>0</v>
      </c>
      <c r="Q61" s="46">
        <f>SUM(O60:O63)</f>
        <v>0</v>
      </c>
      <c r="R61" s="46" t="str">
        <f>IF(Q61=0,"X","")</f>
        <v>X</v>
      </c>
    </row>
    <row r="62" spans="1:18" x14ac:dyDescent="0.25">
      <c r="A62" s="50"/>
      <c r="B62" s="44"/>
      <c r="C62" s="50"/>
      <c r="D62" s="50" t="s">
        <v>1715</v>
      </c>
      <c r="E62" s="50"/>
      <c r="F62" s="50"/>
      <c r="G62" s="50"/>
      <c r="H62" s="50"/>
      <c r="I62" s="50"/>
      <c r="J62" s="50"/>
      <c r="K62" s="50"/>
      <c r="L62" s="50"/>
      <c r="M62" s="50"/>
      <c r="O62" s="46">
        <f>IF(B62="X",1,0)</f>
        <v>0</v>
      </c>
    </row>
    <row r="63" spans="1:18" x14ac:dyDescent="0.25">
      <c r="A63" s="50"/>
      <c r="B63" s="44"/>
      <c r="C63" s="50"/>
      <c r="D63" s="50" t="s">
        <v>1777</v>
      </c>
      <c r="E63" s="50"/>
      <c r="F63" s="50"/>
      <c r="G63" s="50"/>
      <c r="H63" s="50"/>
      <c r="I63" s="50"/>
      <c r="J63" s="50"/>
      <c r="K63" s="50"/>
      <c r="L63" s="50"/>
      <c r="M63" s="50"/>
      <c r="O63" s="46">
        <f>IF(B63="x",1,0)</f>
        <v>0</v>
      </c>
    </row>
    <row r="64" spans="1:18" x14ac:dyDescent="0.25">
      <c r="A64" s="50"/>
      <c r="B64" s="45"/>
      <c r="C64" s="50"/>
      <c r="D64" s="50" t="s">
        <v>1788</v>
      </c>
      <c r="E64" s="50"/>
      <c r="F64" s="50"/>
      <c r="G64" s="50"/>
      <c r="H64" s="50"/>
      <c r="I64" s="50"/>
      <c r="J64" s="50"/>
      <c r="K64" s="50"/>
      <c r="L64" s="50"/>
      <c r="M64" s="50"/>
    </row>
    <row r="65" spans="1:15" x14ac:dyDescent="0.25">
      <c r="A65" s="50"/>
      <c r="B65" s="45"/>
      <c r="C65" s="50"/>
      <c r="D65" s="50" t="s">
        <v>1778</v>
      </c>
      <c r="E65" s="50" t="s">
        <v>1779</v>
      </c>
      <c r="F65" s="50"/>
      <c r="H65" s="50"/>
      <c r="I65" s="50"/>
      <c r="J65" s="50"/>
      <c r="K65" s="50"/>
      <c r="L65" s="50"/>
      <c r="M65" s="50"/>
    </row>
    <row r="66" spans="1:15" x14ac:dyDescent="0.25">
      <c r="A66" s="50"/>
      <c r="B66" s="45"/>
      <c r="C66" s="50"/>
      <c r="D66" s="50" t="s">
        <v>1778</v>
      </c>
      <c r="E66" s="50" t="s">
        <v>1780</v>
      </c>
      <c r="F66" s="50"/>
      <c r="H66" s="50"/>
      <c r="I66" s="50"/>
      <c r="J66" s="50"/>
      <c r="K66" s="50"/>
      <c r="L66" s="50"/>
      <c r="M66" s="50"/>
    </row>
    <row r="67" spans="1:15" x14ac:dyDescent="0.25">
      <c r="A67" s="50"/>
      <c r="B67" s="45"/>
      <c r="C67" s="50"/>
      <c r="D67" s="50" t="s">
        <v>1778</v>
      </c>
      <c r="E67" s="50" t="s">
        <v>1781</v>
      </c>
      <c r="F67" s="50"/>
      <c r="H67" s="50"/>
      <c r="I67" s="50"/>
      <c r="J67" s="50"/>
      <c r="K67" s="50"/>
      <c r="L67" s="50"/>
      <c r="M67" s="50"/>
    </row>
    <row r="68" spans="1:15" x14ac:dyDescent="0.25">
      <c r="A68" s="50"/>
      <c r="B68" s="45"/>
      <c r="C68" s="50"/>
      <c r="D68" s="50" t="s">
        <v>1778</v>
      </c>
      <c r="E68" s="50" t="s">
        <v>1782</v>
      </c>
      <c r="F68" s="50"/>
      <c r="H68" s="50"/>
      <c r="I68" s="50"/>
      <c r="J68" s="50"/>
      <c r="K68" s="50"/>
      <c r="L68" s="50"/>
      <c r="M68" s="50"/>
    </row>
    <row r="69" spans="1:15" x14ac:dyDescent="0.25">
      <c r="A69" s="50"/>
      <c r="B69" s="45"/>
      <c r="C69" s="50"/>
      <c r="D69" s="50" t="s">
        <v>1778</v>
      </c>
      <c r="E69" s="60" t="s">
        <v>1787</v>
      </c>
      <c r="F69" s="50"/>
      <c r="H69" s="50"/>
      <c r="I69" s="50"/>
      <c r="J69" s="50"/>
      <c r="K69" s="50"/>
      <c r="L69" s="50"/>
      <c r="M69" s="50"/>
    </row>
    <row r="70" spans="1:15" ht="28.5" customHeight="1" x14ac:dyDescent="0.25">
      <c r="A70" s="50"/>
      <c r="B70" s="45"/>
      <c r="C70" s="50"/>
      <c r="D70" s="50" t="s">
        <v>1778</v>
      </c>
      <c r="E70" s="435" t="s">
        <v>1783</v>
      </c>
      <c r="F70" s="452"/>
      <c r="G70" s="452"/>
      <c r="H70" s="452"/>
      <c r="I70" s="452"/>
      <c r="J70" s="452"/>
      <c r="K70" s="452"/>
      <c r="L70" s="50"/>
      <c r="M70" s="50"/>
    </row>
    <row r="71" spans="1:15" x14ac:dyDescent="0.25">
      <c r="A71" s="50"/>
      <c r="B71" s="45"/>
      <c r="C71" s="50"/>
      <c r="D71" s="50" t="s">
        <v>1725</v>
      </c>
      <c r="E71" s="50"/>
      <c r="F71" s="50"/>
      <c r="G71" s="455"/>
      <c r="H71" s="456"/>
      <c r="I71" s="456"/>
      <c r="J71" s="456"/>
      <c r="K71" s="456"/>
      <c r="L71" s="456"/>
      <c r="M71" s="456"/>
    </row>
    <row r="72" spans="1:15" x14ac:dyDescent="0.25">
      <c r="A72" s="50"/>
      <c r="B72" s="45"/>
      <c r="C72" s="50"/>
      <c r="D72" s="50"/>
      <c r="E72" s="50"/>
      <c r="F72" s="50"/>
      <c r="G72" s="456"/>
      <c r="H72" s="456"/>
      <c r="I72" s="456"/>
      <c r="J72" s="456"/>
      <c r="K72" s="456"/>
      <c r="L72" s="456"/>
      <c r="M72" s="456"/>
    </row>
    <row r="73" spans="1:15" x14ac:dyDescent="0.25">
      <c r="A73" s="50"/>
      <c r="B73" s="45"/>
      <c r="C73" s="50"/>
      <c r="D73" s="50"/>
      <c r="E73" s="50"/>
      <c r="F73" s="50"/>
      <c r="G73" s="456"/>
      <c r="H73" s="456"/>
      <c r="I73" s="456"/>
      <c r="J73" s="456"/>
      <c r="K73" s="456"/>
      <c r="L73" s="456"/>
      <c r="M73" s="456"/>
    </row>
    <row r="74" spans="1:15" x14ac:dyDescent="0.25">
      <c r="A74" s="50"/>
      <c r="B74" s="45"/>
      <c r="C74" s="50"/>
      <c r="D74" s="50"/>
      <c r="E74" s="50"/>
      <c r="F74" s="50"/>
      <c r="G74" s="456"/>
      <c r="H74" s="456"/>
      <c r="I74" s="456"/>
      <c r="J74" s="456"/>
      <c r="K74" s="456"/>
      <c r="L74" s="456"/>
      <c r="M74" s="456"/>
    </row>
    <row r="75" spans="1:15" x14ac:dyDescent="0.25">
      <c r="A75" s="50"/>
      <c r="B75" s="45"/>
      <c r="C75" s="50"/>
      <c r="D75" s="50"/>
      <c r="E75" s="50"/>
      <c r="F75" s="50"/>
      <c r="G75" s="456"/>
      <c r="H75" s="456"/>
      <c r="I75" s="456"/>
      <c r="J75" s="456"/>
      <c r="K75" s="456"/>
      <c r="L75" s="456"/>
      <c r="M75" s="456"/>
    </row>
    <row r="76" spans="1:15" x14ac:dyDescent="0.25">
      <c r="A76" s="50"/>
      <c r="B76" s="45"/>
      <c r="C76" s="50"/>
      <c r="D76" s="50"/>
      <c r="E76" s="50"/>
      <c r="F76" s="50"/>
      <c r="G76" s="456"/>
      <c r="H76" s="456"/>
      <c r="I76" s="456"/>
      <c r="J76" s="456"/>
      <c r="K76" s="456"/>
      <c r="L76" s="456"/>
      <c r="M76" s="456"/>
    </row>
    <row r="77" spans="1:15" ht="24" customHeight="1" x14ac:dyDescent="0.25">
      <c r="A77" s="50"/>
      <c r="B77" s="45"/>
      <c r="C77" s="50"/>
      <c r="D77" s="50"/>
      <c r="E77" s="50"/>
      <c r="F77" s="50"/>
      <c r="G77" s="456"/>
      <c r="H77" s="456"/>
      <c r="I77" s="456"/>
      <c r="J77" s="456"/>
      <c r="K77" s="456"/>
      <c r="L77" s="456"/>
      <c r="M77" s="456"/>
    </row>
    <row r="78" spans="1:15" x14ac:dyDescent="0.25">
      <c r="A78" s="53" t="s">
        <v>1708</v>
      </c>
      <c r="B78" s="449" t="s">
        <v>1786</v>
      </c>
      <c r="C78" s="452"/>
      <c r="D78" s="452"/>
      <c r="E78" s="452"/>
      <c r="F78" s="452"/>
      <c r="G78" s="452"/>
      <c r="H78" s="452"/>
      <c r="I78" s="452"/>
      <c r="J78" s="452"/>
      <c r="K78" s="452"/>
      <c r="L78" s="452"/>
      <c r="M78" s="452"/>
    </row>
    <row r="79" spans="1:15" ht="13.5" customHeight="1" x14ac:dyDescent="0.25">
      <c r="A79" s="53"/>
      <c r="B79" s="452"/>
      <c r="C79" s="452"/>
      <c r="D79" s="452"/>
      <c r="E79" s="452"/>
      <c r="F79" s="452"/>
      <c r="G79" s="452"/>
      <c r="H79" s="452"/>
      <c r="I79" s="452"/>
      <c r="J79" s="452"/>
      <c r="K79" s="452"/>
      <c r="L79" s="452"/>
      <c r="M79" s="452"/>
    </row>
    <row r="80" spans="1:15" x14ac:dyDescent="0.25">
      <c r="A80" s="50"/>
      <c r="B80" s="44"/>
      <c r="C80" s="50"/>
      <c r="D80" s="50" t="s">
        <v>1716</v>
      </c>
      <c r="E80" s="50"/>
      <c r="F80" s="50"/>
      <c r="G80" s="50"/>
      <c r="H80" s="50"/>
      <c r="I80" s="50"/>
      <c r="J80" s="50"/>
      <c r="K80" s="50"/>
      <c r="L80" s="50"/>
      <c r="M80" s="50"/>
      <c r="O80" s="46">
        <f>IF(B80="x",1,0)</f>
        <v>0</v>
      </c>
    </row>
    <row r="81" spans="1:18" x14ac:dyDescent="0.25">
      <c r="A81" s="50"/>
      <c r="B81" s="44"/>
      <c r="C81" s="50"/>
      <c r="D81" s="435" t="s">
        <v>1794</v>
      </c>
      <c r="E81" s="436"/>
      <c r="F81" s="436"/>
      <c r="G81" s="436"/>
      <c r="H81" s="436"/>
      <c r="I81" s="436"/>
      <c r="J81" s="436"/>
      <c r="K81" s="436"/>
      <c r="L81" s="436"/>
      <c r="M81" s="436"/>
      <c r="O81" s="46">
        <f>IF(B81="x",1,0)</f>
        <v>0</v>
      </c>
      <c r="Q81" s="46">
        <f>SUM(O80:O88)</f>
        <v>0</v>
      </c>
      <c r="R81" s="46" t="s">
        <v>1784</v>
      </c>
    </row>
    <row r="82" spans="1:18" ht="14.25" customHeight="1" x14ac:dyDescent="0.25">
      <c r="A82" s="50"/>
      <c r="B82" s="50"/>
      <c r="C82" s="50"/>
      <c r="D82" s="436"/>
      <c r="E82" s="436"/>
      <c r="F82" s="436"/>
      <c r="G82" s="436"/>
      <c r="H82" s="436"/>
      <c r="I82" s="436"/>
      <c r="J82" s="436"/>
      <c r="K82" s="436"/>
      <c r="L82" s="436"/>
      <c r="M82" s="436"/>
    </row>
    <row r="83" spans="1:18" ht="14.25" customHeight="1" x14ac:dyDescent="0.25">
      <c r="A83" s="50"/>
      <c r="B83" s="44"/>
      <c r="C83" s="50"/>
      <c r="D83" s="435" t="s">
        <v>1793</v>
      </c>
      <c r="E83" s="436"/>
      <c r="F83" s="436"/>
      <c r="G83" s="436"/>
      <c r="H83" s="436"/>
      <c r="I83" s="436"/>
      <c r="J83" s="436"/>
      <c r="K83" s="436"/>
      <c r="L83" s="436"/>
      <c r="M83" s="436"/>
      <c r="O83" s="46">
        <f>IF(B83="X",1,0)</f>
        <v>0</v>
      </c>
    </row>
    <row r="84" spans="1:18" ht="15" customHeight="1" x14ac:dyDescent="0.25">
      <c r="A84" s="50"/>
      <c r="B84" s="50"/>
      <c r="C84" s="50"/>
      <c r="D84" s="436"/>
      <c r="E84" s="436"/>
      <c r="F84" s="436"/>
      <c r="G84" s="436"/>
      <c r="H84" s="436"/>
      <c r="I84" s="436"/>
      <c r="J84" s="436"/>
      <c r="K84" s="436"/>
      <c r="L84" s="436"/>
      <c r="M84" s="436"/>
    </row>
    <row r="85" spans="1:18" ht="15" customHeight="1" x14ac:dyDescent="0.25">
      <c r="A85" s="50"/>
      <c r="B85" s="44"/>
      <c r="C85" s="50"/>
      <c r="D85" s="56" t="s">
        <v>1721</v>
      </c>
      <c r="E85" s="55"/>
      <c r="F85" s="55"/>
      <c r="G85" s="55"/>
      <c r="H85" s="55"/>
      <c r="I85" s="55"/>
      <c r="J85" s="55"/>
      <c r="K85" s="55"/>
      <c r="L85" s="55"/>
      <c r="M85" s="55"/>
      <c r="O85" s="46">
        <f>IF(B85="X",1,0)</f>
        <v>0</v>
      </c>
    </row>
    <row r="86" spans="1:18" x14ac:dyDescent="0.25">
      <c r="A86" s="50"/>
      <c r="B86" s="44"/>
      <c r="C86" s="50"/>
      <c r="D86" s="50" t="s">
        <v>1790</v>
      </c>
      <c r="E86" s="50"/>
      <c r="F86" s="50"/>
      <c r="G86" s="50"/>
      <c r="H86" s="50"/>
      <c r="I86" s="50"/>
      <c r="J86" s="50"/>
      <c r="K86" s="50"/>
      <c r="L86" s="50"/>
      <c r="M86" s="50"/>
      <c r="O86" s="46">
        <f>IF(B86="X",1,0)</f>
        <v>0</v>
      </c>
    </row>
    <row r="87" spans="1:18" x14ac:dyDescent="0.25">
      <c r="A87" s="50"/>
      <c r="B87" s="44"/>
      <c r="C87" s="50"/>
      <c r="D87" s="50" t="s">
        <v>1792</v>
      </c>
      <c r="E87" s="50"/>
      <c r="F87" s="50"/>
      <c r="G87" s="50"/>
      <c r="H87" s="50"/>
      <c r="I87" s="50"/>
      <c r="J87" s="50"/>
      <c r="K87" s="50"/>
      <c r="L87" s="50"/>
      <c r="M87" s="50"/>
      <c r="O87" s="46">
        <f>IF(B87="X",1,0)</f>
        <v>0</v>
      </c>
    </row>
    <row r="88" spans="1:18" x14ac:dyDescent="0.25">
      <c r="A88" s="50"/>
      <c r="B88" s="44"/>
      <c r="C88" s="50"/>
      <c r="D88" s="50" t="s">
        <v>1791</v>
      </c>
      <c r="E88" s="50"/>
      <c r="F88" s="50"/>
      <c r="G88" s="50"/>
      <c r="H88" s="50"/>
      <c r="I88" s="50"/>
      <c r="J88" s="50"/>
      <c r="K88" s="50"/>
      <c r="L88" s="50"/>
      <c r="M88" s="50"/>
      <c r="O88" s="46">
        <f>IF(B88="X",1,0)</f>
        <v>0</v>
      </c>
    </row>
    <row r="89" spans="1:18" x14ac:dyDescent="0.25">
      <c r="A89" s="50"/>
      <c r="B89" s="45"/>
      <c r="C89" s="50"/>
      <c r="D89" s="50" t="s">
        <v>1725</v>
      </c>
      <c r="E89" s="50"/>
      <c r="F89" s="50"/>
      <c r="G89" s="442"/>
      <c r="H89" s="454"/>
      <c r="I89" s="454"/>
      <c r="J89" s="454"/>
      <c r="K89" s="454"/>
      <c r="L89" s="454"/>
      <c r="M89" s="454"/>
    </row>
    <row r="90" spans="1:18" x14ac:dyDescent="0.25">
      <c r="A90" s="50"/>
      <c r="B90" s="45"/>
      <c r="C90" s="50"/>
      <c r="D90" s="50"/>
      <c r="E90" s="50"/>
      <c r="F90" s="50"/>
      <c r="G90" s="454"/>
      <c r="H90" s="454"/>
      <c r="I90" s="454"/>
      <c r="J90" s="454"/>
      <c r="K90" s="454"/>
      <c r="L90" s="454"/>
      <c r="M90" s="454"/>
    </row>
    <row r="91" spans="1:18" x14ac:dyDescent="0.25">
      <c r="A91" s="50"/>
      <c r="B91" s="45"/>
      <c r="C91" s="50"/>
      <c r="D91" s="50"/>
      <c r="E91" s="50"/>
      <c r="F91" s="50"/>
      <c r="G91" s="454"/>
      <c r="H91" s="454"/>
      <c r="I91" s="454"/>
      <c r="J91" s="454"/>
      <c r="K91" s="454"/>
      <c r="L91" s="454"/>
      <c r="M91" s="454"/>
    </row>
    <row r="92" spans="1:18" x14ac:dyDescent="0.25">
      <c r="A92" s="53" t="s">
        <v>3524</v>
      </c>
      <c r="B92" s="53" t="s">
        <v>1728</v>
      </c>
      <c r="C92" s="53"/>
      <c r="D92" s="50"/>
      <c r="E92" s="50"/>
      <c r="F92" s="50"/>
      <c r="G92" s="50"/>
      <c r="H92" s="50"/>
      <c r="I92" s="50"/>
      <c r="J92" s="50"/>
      <c r="K92" s="50"/>
      <c r="L92" s="50"/>
      <c r="M92" s="50"/>
    </row>
    <row r="93" spans="1:18" x14ac:dyDescent="0.25">
      <c r="A93" s="50"/>
      <c r="B93" s="44"/>
      <c r="C93" s="50"/>
      <c r="D93" s="414" t="s">
        <v>3544</v>
      </c>
      <c r="E93" s="53"/>
      <c r="F93" s="50"/>
      <c r="G93" s="50"/>
      <c r="H93" s="50"/>
      <c r="I93" s="50"/>
      <c r="J93" s="50"/>
      <c r="K93" s="50"/>
      <c r="L93" s="50"/>
      <c r="M93" s="50"/>
      <c r="O93" s="46">
        <f>IF(B93="x",1,0)</f>
        <v>0</v>
      </c>
    </row>
    <row r="94" spans="1:18" x14ac:dyDescent="0.25">
      <c r="A94" s="50"/>
      <c r="B94" s="44"/>
      <c r="C94" s="50"/>
      <c r="D94" s="50" t="s">
        <v>1789</v>
      </c>
      <c r="E94" s="50"/>
      <c r="F94" s="50"/>
      <c r="G94" s="50"/>
      <c r="H94" s="50"/>
      <c r="I94" s="50"/>
      <c r="J94" s="50"/>
      <c r="K94" s="50"/>
      <c r="L94" s="50"/>
      <c r="M94" s="50"/>
      <c r="O94" s="46">
        <f>IF(B94="x",1,0)</f>
        <v>0</v>
      </c>
      <c r="Q94" s="46">
        <f>SUM(O93:O97)</f>
        <v>0</v>
      </c>
      <c r="R94" s="46" t="str">
        <f>IF(Q94=0,"X","")</f>
        <v>X</v>
      </c>
    </row>
    <row r="95" spans="1:18" x14ac:dyDescent="0.25">
      <c r="A95" s="50"/>
      <c r="B95" s="45"/>
      <c r="C95" s="50"/>
      <c r="D95" s="50" t="s">
        <v>1725</v>
      </c>
      <c r="E95" s="50"/>
      <c r="F95" s="50"/>
      <c r="G95" s="442"/>
      <c r="H95" s="454"/>
      <c r="I95" s="454"/>
      <c r="J95" s="454"/>
      <c r="K95" s="454"/>
      <c r="L95" s="454"/>
      <c r="M95" s="454"/>
    </row>
    <row r="96" spans="1:18" s="413" customFormat="1" x14ac:dyDescent="0.25">
      <c r="A96" s="414"/>
      <c r="B96" s="412"/>
      <c r="C96" s="414"/>
      <c r="D96" s="414"/>
      <c r="E96" s="414"/>
      <c r="F96" s="414"/>
      <c r="G96" s="442"/>
      <c r="H96" s="454"/>
      <c r="I96" s="454"/>
      <c r="J96" s="454"/>
      <c r="K96" s="454"/>
      <c r="L96" s="454"/>
      <c r="M96" s="454"/>
    </row>
    <row r="97" spans="1:13" x14ac:dyDescent="0.25">
      <c r="A97" s="50"/>
      <c r="B97" s="45"/>
      <c r="C97" s="50"/>
      <c r="D97" s="50"/>
      <c r="E97" s="50"/>
      <c r="F97" s="50"/>
      <c r="G97" s="454"/>
      <c r="H97" s="454"/>
      <c r="I97" s="454"/>
      <c r="J97" s="454"/>
      <c r="K97" s="454"/>
      <c r="L97" s="454"/>
      <c r="M97" s="454"/>
    </row>
    <row r="98" spans="1:13" x14ac:dyDescent="0.25">
      <c r="A98" s="52"/>
      <c r="B98" s="49"/>
      <c r="C98" s="49"/>
      <c r="D98" s="49"/>
      <c r="E98" s="49"/>
      <c r="F98" s="49"/>
      <c r="G98" s="49"/>
      <c r="H98" s="49"/>
      <c r="I98" s="49"/>
      <c r="J98" s="49"/>
      <c r="K98" s="49"/>
      <c r="L98" s="49"/>
      <c r="M98" s="49"/>
    </row>
    <row r="99" spans="1:13" x14ac:dyDescent="0.25">
      <c r="A99" s="455"/>
      <c r="B99" s="456"/>
      <c r="C99" s="456"/>
      <c r="D99" s="456"/>
      <c r="E99" s="456"/>
      <c r="F99" s="456"/>
      <c r="G99" s="456"/>
      <c r="H99" s="456"/>
      <c r="I99" s="456"/>
      <c r="J99" s="456"/>
      <c r="K99" s="456"/>
      <c r="L99" s="456"/>
      <c r="M99" s="456"/>
    </row>
    <row r="100" spans="1:13" x14ac:dyDescent="0.25">
      <c r="A100" s="456"/>
      <c r="B100" s="456"/>
      <c r="C100" s="456"/>
      <c r="D100" s="456"/>
      <c r="E100" s="456"/>
      <c r="F100" s="456"/>
      <c r="G100" s="456"/>
      <c r="H100" s="456"/>
      <c r="I100" s="456"/>
      <c r="J100" s="456"/>
      <c r="K100" s="456"/>
      <c r="L100" s="456"/>
      <c r="M100" s="456"/>
    </row>
    <row r="101" spans="1:13" x14ac:dyDescent="0.25">
      <c r="A101" s="456"/>
      <c r="B101" s="456"/>
      <c r="C101" s="456"/>
      <c r="D101" s="456"/>
      <c r="E101" s="456"/>
      <c r="F101" s="456"/>
      <c r="G101" s="456"/>
      <c r="H101" s="456"/>
      <c r="I101" s="456"/>
      <c r="J101" s="456"/>
      <c r="K101" s="456"/>
      <c r="L101" s="456"/>
      <c r="M101" s="456"/>
    </row>
    <row r="102" spans="1:13" x14ac:dyDescent="0.25">
      <c r="A102" s="456"/>
      <c r="B102" s="456"/>
      <c r="C102" s="456"/>
      <c r="D102" s="456"/>
      <c r="E102" s="456"/>
      <c r="F102" s="456"/>
      <c r="G102" s="456"/>
      <c r="H102" s="456"/>
      <c r="I102" s="456"/>
      <c r="J102" s="456"/>
      <c r="K102" s="456"/>
      <c r="L102" s="456"/>
      <c r="M102" s="456"/>
    </row>
    <row r="103" spans="1:13" x14ac:dyDescent="0.25">
      <c r="A103" s="456"/>
      <c r="B103" s="456"/>
      <c r="C103" s="456"/>
      <c r="D103" s="456"/>
      <c r="E103" s="456"/>
      <c r="F103" s="456"/>
      <c r="G103" s="456"/>
      <c r="H103" s="456"/>
      <c r="I103" s="456"/>
      <c r="J103" s="456"/>
      <c r="K103" s="456"/>
      <c r="L103" s="456"/>
      <c r="M103" s="456"/>
    </row>
    <row r="104" spans="1:13" x14ac:dyDescent="0.25">
      <c r="A104" s="456"/>
      <c r="B104" s="456"/>
      <c r="C104" s="456"/>
      <c r="D104" s="456"/>
      <c r="E104" s="456"/>
      <c r="F104" s="456"/>
      <c r="G104" s="456"/>
      <c r="H104" s="456"/>
      <c r="I104" s="456"/>
      <c r="J104" s="456"/>
      <c r="K104" s="456"/>
      <c r="L104" s="456"/>
      <c r="M104" s="456"/>
    </row>
    <row r="105" spans="1:13" x14ac:dyDescent="0.25">
      <c r="A105" s="456"/>
      <c r="B105" s="456"/>
      <c r="C105" s="456"/>
      <c r="D105" s="456"/>
      <c r="E105" s="456"/>
      <c r="F105" s="456"/>
      <c r="G105" s="456"/>
      <c r="H105" s="456"/>
      <c r="I105" s="456"/>
      <c r="J105" s="456"/>
      <c r="K105" s="456"/>
      <c r="L105" s="456"/>
      <c r="M105" s="456"/>
    </row>
    <row r="106" spans="1:13" x14ac:dyDescent="0.25">
      <c r="A106" s="456"/>
      <c r="B106" s="456"/>
      <c r="C106" s="456"/>
      <c r="D106" s="456"/>
      <c r="E106" s="456"/>
      <c r="F106" s="456"/>
      <c r="G106" s="456"/>
      <c r="H106" s="456"/>
      <c r="I106" s="456"/>
      <c r="J106" s="456"/>
      <c r="K106" s="456"/>
      <c r="L106" s="456"/>
      <c r="M106" s="456"/>
    </row>
    <row r="107" spans="1:13" x14ac:dyDescent="0.25">
      <c r="A107" s="456"/>
      <c r="B107" s="456"/>
      <c r="C107" s="456"/>
      <c r="D107" s="456"/>
      <c r="E107" s="456"/>
      <c r="F107" s="456"/>
      <c r="G107" s="456"/>
      <c r="H107" s="456"/>
      <c r="I107" s="456"/>
      <c r="J107" s="456"/>
      <c r="K107" s="456"/>
      <c r="L107" s="456"/>
      <c r="M107" s="456"/>
    </row>
    <row r="108" spans="1:13" x14ac:dyDescent="0.25">
      <c r="A108" s="456"/>
      <c r="B108" s="456"/>
      <c r="C108" s="456"/>
      <c r="D108" s="456"/>
      <c r="E108" s="456"/>
      <c r="F108" s="456"/>
      <c r="G108" s="456"/>
      <c r="H108" s="456"/>
      <c r="I108" s="456"/>
      <c r="J108" s="456"/>
      <c r="K108" s="456"/>
      <c r="L108" s="456"/>
      <c r="M108" s="456"/>
    </row>
    <row r="109" spans="1:13" ht="15" hidden="1" customHeight="1" x14ac:dyDescent="0.25">
      <c r="A109" s="460"/>
      <c r="B109" s="460"/>
      <c r="C109" s="460"/>
      <c r="D109" s="460"/>
      <c r="E109" s="460"/>
      <c r="F109" s="460"/>
      <c r="G109" s="460"/>
      <c r="H109" s="460"/>
      <c r="I109" s="460"/>
      <c r="J109" s="460"/>
      <c r="K109" s="460"/>
      <c r="L109" s="460"/>
      <c r="M109" s="460"/>
    </row>
    <row r="110" spans="1:13" ht="15" hidden="1" customHeight="1" x14ac:dyDescent="0.25">
      <c r="A110" s="460"/>
      <c r="B110" s="460"/>
      <c r="C110" s="460"/>
      <c r="D110" s="460"/>
      <c r="E110" s="460"/>
      <c r="F110" s="460"/>
      <c r="G110" s="460"/>
      <c r="H110" s="460"/>
      <c r="I110" s="460"/>
      <c r="J110" s="460"/>
      <c r="K110" s="460"/>
      <c r="L110" s="460"/>
      <c r="M110" s="460"/>
    </row>
    <row r="111" spans="1:13" ht="15" hidden="1" customHeight="1" x14ac:dyDescent="0.25">
      <c r="A111" s="460"/>
      <c r="B111" s="460"/>
      <c r="C111" s="460"/>
      <c r="D111" s="460"/>
      <c r="E111" s="460"/>
      <c r="F111" s="460"/>
      <c r="G111" s="460"/>
      <c r="H111" s="460"/>
      <c r="I111" s="460"/>
      <c r="J111" s="460"/>
      <c r="K111" s="460"/>
      <c r="L111" s="460"/>
      <c r="M111" s="460"/>
    </row>
    <row r="112" spans="1:13" ht="15" hidden="1" customHeight="1" x14ac:dyDescent="0.25">
      <c r="A112" s="460"/>
      <c r="B112" s="460"/>
      <c r="C112" s="460"/>
      <c r="D112" s="460"/>
      <c r="E112" s="460"/>
      <c r="F112" s="460"/>
      <c r="G112" s="460"/>
      <c r="H112" s="460"/>
      <c r="I112" s="460"/>
      <c r="J112" s="460"/>
      <c r="K112" s="460"/>
      <c r="L112" s="460"/>
      <c r="M112" s="460"/>
    </row>
    <row r="113" spans="1:13" ht="15" hidden="1" customHeight="1" x14ac:dyDescent="0.25">
      <c r="A113" s="460"/>
      <c r="B113" s="460"/>
      <c r="C113" s="460"/>
      <c r="D113" s="460"/>
      <c r="E113" s="460"/>
      <c r="F113" s="460"/>
      <c r="G113" s="460"/>
      <c r="H113" s="460"/>
      <c r="I113" s="460"/>
      <c r="J113" s="460"/>
      <c r="K113" s="460"/>
      <c r="L113" s="460"/>
      <c r="M113" s="460"/>
    </row>
    <row r="114" spans="1:13" ht="15" hidden="1" customHeight="1" x14ac:dyDescent="0.25">
      <c r="A114" s="460"/>
      <c r="B114" s="460"/>
      <c r="C114" s="460"/>
      <c r="D114" s="460"/>
      <c r="E114" s="460"/>
      <c r="F114" s="460"/>
      <c r="G114" s="460"/>
      <c r="H114" s="460"/>
      <c r="I114" s="460"/>
      <c r="J114" s="460"/>
      <c r="K114" s="460"/>
      <c r="L114" s="460"/>
      <c r="M114" s="460"/>
    </row>
    <row r="115" spans="1:13" ht="15" hidden="1" customHeight="1" x14ac:dyDescent="0.25">
      <c r="A115" s="460"/>
      <c r="B115" s="460"/>
      <c r="C115" s="460"/>
      <c r="D115" s="460"/>
      <c r="E115" s="460"/>
      <c r="F115" s="460"/>
      <c r="G115" s="460"/>
      <c r="H115" s="460"/>
      <c r="I115" s="460"/>
      <c r="J115" s="460"/>
      <c r="K115" s="460"/>
      <c r="L115" s="460"/>
      <c r="M115" s="460"/>
    </row>
    <row r="116" spans="1:13" ht="15" hidden="1" customHeight="1" x14ac:dyDescent="0.25">
      <c r="A116" s="460"/>
      <c r="B116" s="460"/>
      <c r="C116" s="460"/>
      <c r="D116" s="460"/>
      <c r="E116" s="460"/>
      <c r="F116" s="460"/>
      <c r="G116" s="460"/>
      <c r="H116" s="460"/>
      <c r="I116" s="460"/>
      <c r="J116" s="460"/>
      <c r="K116" s="460"/>
      <c r="L116" s="460"/>
      <c r="M116" s="460"/>
    </row>
    <row r="117" spans="1:13" ht="15" hidden="1" customHeight="1" x14ac:dyDescent="0.25">
      <c r="A117" s="460"/>
      <c r="B117" s="460"/>
      <c r="C117" s="460"/>
      <c r="D117" s="460"/>
      <c r="E117" s="460"/>
      <c r="F117" s="460"/>
      <c r="G117" s="460"/>
      <c r="H117" s="460"/>
      <c r="I117" s="460"/>
      <c r="J117" s="460"/>
      <c r="K117" s="460"/>
      <c r="L117" s="460"/>
      <c r="M117" s="460"/>
    </row>
    <row r="118" spans="1:13" ht="15" hidden="1" customHeight="1" x14ac:dyDescent="0.25">
      <c r="A118" s="460"/>
      <c r="B118" s="460"/>
      <c r="C118" s="460"/>
      <c r="D118" s="460"/>
      <c r="E118" s="460"/>
      <c r="F118" s="460"/>
      <c r="G118" s="460"/>
      <c r="H118" s="460"/>
      <c r="I118" s="460"/>
      <c r="J118" s="460"/>
      <c r="K118" s="460"/>
      <c r="L118" s="460"/>
      <c r="M118" s="460"/>
    </row>
    <row r="119" spans="1:13" ht="15" hidden="1" customHeight="1" x14ac:dyDescent="0.25">
      <c r="A119" s="460"/>
      <c r="B119" s="460"/>
      <c r="C119" s="460"/>
      <c r="D119" s="460"/>
      <c r="E119" s="460"/>
      <c r="F119" s="460"/>
      <c r="G119" s="460"/>
      <c r="H119" s="460"/>
      <c r="I119" s="460"/>
      <c r="J119" s="460"/>
      <c r="K119" s="460"/>
      <c r="L119" s="460"/>
      <c r="M119" s="460"/>
    </row>
    <row r="120" spans="1:13" ht="15" hidden="1" customHeight="1" x14ac:dyDescent="0.25">
      <c r="A120" s="460"/>
      <c r="B120" s="460"/>
      <c r="C120" s="460"/>
      <c r="D120" s="460"/>
      <c r="E120" s="460"/>
      <c r="F120" s="460"/>
      <c r="G120" s="460"/>
      <c r="H120" s="460"/>
      <c r="I120" s="460"/>
      <c r="J120" s="460"/>
      <c r="K120" s="460"/>
      <c r="L120" s="460"/>
      <c r="M120" s="460"/>
    </row>
    <row r="121" spans="1:13" ht="15" hidden="1" customHeight="1" x14ac:dyDescent="0.25">
      <c r="A121" s="460"/>
      <c r="B121" s="460"/>
      <c r="C121" s="460"/>
      <c r="D121" s="460"/>
      <c r="E121" s="460"/>
      <c r="F121" s="460"/>
      <c r="G121" s="460"/>
      <c r="H121" s="460"/>
      <c r="I121" s="460"/>
      <c r="J121" s="460"/>
      <c r="K121" s="460"/>
      <c r="L121" s="460"/>
      <c r="M121" s="460"/>
    </row>
    <row r="122" spans="1:13" ht="15" hidden="1" customHeight="1" x14ac:dyDescent="0.25">
      <c r="A122" s="460"/>
      <c r="B122" s="460"/>
      <c r="C122" s="460"/>
      <c r="D122" s="460"/>
      <c r="E122" s="460"/>
      <c r="F122" s="460"/>
      <c r="G122" s="460"/>
      <c r="H122" s="460"/>
      <c r="I122" s="460"/>
      <c r="J122" s="460"/>
      <c r="K122" s="460"/>
      <c r="L122" s="460"/>
      <c r="M122" s="460"/>
    </row>
    <row r="123" spans="1:13" ht="15" hidden="1" customHeight="1" x14ac:dyDescent="0.25">
      <c r="A123" s="460"/>
      <c r="B123" s="460"/>
      <c r="C123" s="460"/>
      <c r="D123" s="460"/>
      <c r="E123" s="460"/>
      <c r="F123" s="460"/>
      <c r="G123" s="460"/>
      <c r="H123" s="460"/>
      <c r="I123" s="460"/>
      <c r="J123" s="460"/>
      <c r="K123" s="460"/>
      <c r="L123" s="460"/>
      <c r="M123" s="460"/>
    </row>
    <row r="124" spans="1:13" ht="15" hidden="1" customHeight="1" x14ac:dyDescent="0.25">
      <c r="A124" s="460"/>
      <c r="B124" s="460"/>
      <c r="C124" s="460"/>
      <c r="D124" s="460"/>
      <c r="E124" s="460"/>
      <c r="F124" s="460"/>
      <c r="G124" s="460"/>
      <c r="H124" s="460"/>
      <c r="I124" s="460"/>
      <c r="J124" s="460"/>
      <c r="K124" s="460"/>
      <c r="L124" s="460"/>
      <c r="M124" s="460"/>
    </row>
    <row r="125" spans="1:13" ht="15" hidden="1" customHeight="1" x14ac:dyDescent="0.25">
      <c r="A125" s="460"/>
      <c r="B125" s="460"/>
      <c r="C125" s="460"/>
      <c r="D125" s="460"/>
      <c r="E125" s="460"/>
      <c r="F125" s="460"/>
      <c r="G125" s="460"/>
      <c r="H125" s="460"/>
      <c r="I125" s="460"/>
      <c r="J125" s="460"/>
      <c r="K125" s="460"/>
      <c r="L125" s="460"/>
      <c r="M125" s="460"/>
    </row>
    <row r="126" spans="1:13" ht="15" hidden="1" customHeight="1" x14ac:dyDescent="0.25">
      <c r="A126" s="460"/>
      <c r="B126" s="460"/>
      <c r="C126" s="460"/>
      <c r="D126" s="460"/>
      <c r="E126" s="460"/>
      <c r="F126" s="460"/>
      <c r="G126" s="460"/>
      <c r="H126" s="460"/>
      <c r="I126" s="460"/>
      <c r="J126" s="460"/>
      <c r="K126" s="460"/>
      <c r="L126" s="460"/>
      <c r="M126" s="460"/>
    </row>
    <row r="127" spans="1:13" ht="15" hidden="1" customHeight="1" x14ac:dyDescent="0.25">
      <c r="A127" s="460"/>
      <c r="B127" s="460"/>
      <c r="C127" s="460"/>
      <c r="D127" s="460"/>
      <c r="E127" s="460"/>
      <c r="F127" s="460"/>
      <c r="G127" s="460"/>
      <c r="H127" s="460"/>
      <c r="I127" s="460"/>
      <c r="J127" s="460"/>
      <c r="K127" s="460"/>
      <c r="L127" s="460"/>
      <c r="M127" s="460"/>
    </row>
    <row r="128" spans="1:13" ht="15" hidden="1" customHeight="1" x14ac:dyDescent="0.25">
      <c r="A128" s="460"/>
      <c r="B128" s="460"/>
      <c r="C128" s="460"/>
      <c r="D128" s="460"/>
      <c r="E128" s="460"/>
      <c r="F128" s="460"/>
      <c r="G128" s="460"/>
      <c r="H128" s="460"/>
      <c r="I128" s="460"/>
      <c r="J128" s="460"/>
      <c r="K128" s="460"/>
      <c r="L128" s="460"/>
      <c r="M128" s="460"/>
    </row>
    <row r="129" spans="1:13" ht="15" hidden="1" customHeight="1" x14ac:dyDescent="0.25">
      <c r="A129" s="460"/>
      <c r="B129" s="460"/>
      <c r="C129" s="460"/>
      <c r="D129" s="460"/>
      <c r="E129" s="460"/>
      <c r="F129" s="460"/>
      <c r="G129" s="460"/>
      <c r="H129" s="460"/>
      <c r="I129" s="460"/>
      <c r="J129" s="460"/>
      <c r="K129" s="460"/>
      <c r="L129" s="460"/>
      <c r="M129" s="460"/>
    </row>
    <row r="130" spans="1:13" x14ac:dyDescent="0.25">
      <c r="A130" s="460"/>
      <c r="B130" s="460"/>
      <c r="C130" s="460"/>
      <c r="D130" s="460"/>
      <c r="E130" s="460"/>
      <c r="F130" s="460"/>
      <c r="G130" s="460"/>
      <c r="H130" s="460"/>
      <c r="I130" s="460"/>
      <c r="J130" s="460"/>
      <c r="K130" s="460"/>
      <c r="L130" s="460"/>
      <c r="M130" s="460"/>
    </row>
    <row r="131" spans="1:13" x14ac:dyDescent="0.25">
      <c r="A131" s="460"/>
      <c r="B131" s="460"/>
      <c r="C131" s="460"/>
      <c r="D131" s="460"/>
      <c r="E131" s="460"/>
      <c r="F131" s="460"/>
      <c r="G131" s="460"/>
      <c r="H131" s="460"/>
      <c r="I131" s="460"/>
      <c r="J131" s="460"/>
      <c r="K131" s="460"/>
      <c r="L131" s="460"/>
      <c r="M131" s="460"/>
    </row>
    <row r="132" spans="1:13" x14ac:dyDescent="0.25">
      <c r="A132" s="460"/>
      <c r="B132" s="460"/>
      <c r="C132" s="460"/>
      <c r="D132" s="460"/>
      <c r="E132" s="460"/>
      <c r="F132" s="460"/>
      <c r="G132" s="460"/>
      <c r="H132" s="460"/>
      <c r="I132" s="460"/>
      <c r="J132" s="460"/>
      <c r="K132" s="460"/>
      <c r="L132" s="460"/>
      <c r="M132" s="460"/>
    </row>
    <row r="133" spans="1:13" x14ac:dyDescent="0.25">
      <c r="A133" s="460"/>
      <c r="B133" s="460"/>
      <c r="C133" s="460"/>
      <c r="D133" s="460"/>
      <c r="E133" s="460"/>
      <c r="F133" s="460"/>
      <c r="G133" s="460"/>
      <c r="H133" s="460"/>
      <c r="I133" s="460"/>
      <c r="J133" s="460"/>
      <c r="K133" s="460"/>
      <c r="L133" s="460"/>
      <c r="M133" s="460"/>
    </row>
    <row r="134" spans="1:13" hidden="1" x14ac:dyDescent="0.25"/>
    <row r="135" spans="1:13" ht="15" hidden="1" customHeight="1" x14ac:dyDescent="0.25"/>
    <row r="136" spans="1:13" ht="15" hidden="1" customHeight="1" x14ac:dyDescent="0.25"/>
    <row r="137" spans="1:13" hidden="1" x14ac:dyDescent="0.25"/>
    <row r="138" spans="1:13" hidden="1" x14ac:dyDescent="0.25"/>
    <row r="139" spans="1:13" hidden="1" x14ac:dyDescent="0.25"/>
    <row r="140" spans="1:13" hidden="1" x14ac:dyDescent="0.25"/>
    <row r="141" spans="1:13" hidden="1" x14ac:dyDescent="0.25"/>
    <row r="142" spans="1:13" hidden="1" x14ac:dyDescent="0.25"/>
    <row r="143" spans="1:13" hidden="1" x14ac:dyDescent="0.25"/>
    <row r="144" spans="1:1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sheetData>
  <sheetProtection algorithmName="SHA-512" hashValue="Vt95LKE2tOM2diSjuH1MIv6e6jSNmF7VCAX4fatXfCxf6ZOzwxYMfQ2wF/cnzWTGMXDbSzbqyFOdcaebrvftdg==" saltValue="IT/fR28w92CHVLN7MI2Kag==" spinCount="100000" sheet="1" objects="1" scenarios="1"/>
  <mergeCells count="38">
    <mergeCell ref="A99:M133"/>
    <mergeCell ref="B78:M79"/>
    <mergeCell ref="D81:M82"/>
    <mergeCell ref="D83:M84"/>
    <mergeCell ref="G95:M97"/>
    <mergeCell ref="G89:M91"/>
    <mergeCell ref="F37:L38"/>
    <mergeCell ref="A23:M23"/>
    <mergeCell ref="G29:M31"/>
    <mergeCell ref="G71:M77"/>
    <mergeCell ref="F39:L40"/>
    <mergeCell ref="F41:L42"/>
    <mergeCell ref="F43:L44"/>
    <mergeCell ref="F45:L46"/>
    <mergeCell ref="G56:M58"/>
    <mergeCell ref="G47:M49"/>
    <mergeCell ref="E70:K70"/>
    <mergeCell ref="A13:G13"/>
    <mergeCell ref="A7:D7"/>
    <mergeCell ref="B25:M25"/>
    <mergeCell ref="B32:M32"/>
    <mergeCell ref="F35:L36"/>
    <mergeCell ref="F7:K7"/>
    <mergeCell ref="H13:L13"/>
    <mergeCell ref="D21:L21"/>
    <mergeCell ref="A12:G12"/>
    <mergeCell ref="H12:L12"/>
    <mergeCell ref="A1:M1"/>
    <mergeCell ref="K2:L2"/>
    <mergeCell ref="A3:M3"/>
    <mergeCell ref="A5:D5"/>
    <mergeCell ref="F5:K5"/>
    <mergeCell ref="A6:D6"/>
    <mergeCell ref="F6:K6"/>
    <mergeCell ref="A10:G10"/>
    <mergeCell ref="H10:L10"/>
    <mergeCell ref="A11:G11"/>
    <mergeCell ref="H11:L11"/>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xr:uid="{00000000-0002-0000-0000-000000000000}">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xr:uid="{00000000-0002-0000-0000-000001000000}">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xr:uid="{00000000-0002-0000-0000-000002000000}">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xr:uid="{00000000-0002-0000-0000-000005000000}">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xr:uid="{00000000-0002-0000-0000-000007000000}">
      <formula1>$R$26</formula1>
    </dataValidation>
    <dataValidation type="list" allowBlank="1" showInputMessage="1" showErrorMessage="1" sqref="F7:K7" xr:uid="{00000000-0002-0000-0000-000008000000}">
      <formula1>$O$3:$O$8</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r:uid="{00000000-0002-0000-0000-00000A000000}">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50"/>
  <sheetViews>
    <sheetView workbookViewId="0">
      <selection activeCell="K14" sqref="A14:K14"/>
    </sheetView>
  </sheetViews>
  <sheetFormatPr defaultRowHeight="15" x14ac:dyDescent="0.25"/>
  <cols>
    <col min="13" max="13" width="12.5703125" customWidth="1"/>
    <col min="14" max="14" width="12.7109375" bestFit="1" customWidth="1"/>
  </cols>
  <sheetData>
    <row r="1" spans="1:15" ht="15.75" thickBot="1" x14ac:dyDescent="0.3">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75" thickBot="1" x14ac:dyDescent="0.3">
      <c r="A2" s="9"/>
      <c r="B2" s="10" t="s">
        <v>1258</v>
      </c>
      <c r="C2" s="11" t="s">
        <v>1259</v>
      </c>
      <c r="D2" s="10"/>
      <c r="E2" s="10"/>
      <c r="F2" s="10"/>
      <c r="G2" s="10"/>
      <c r="H2" s="10" t="s">
        <v>1260</v>
      </c>
      <c r="I2" s="10"/>
      <c r="J2" s="10" t="s">
        <v>1259</v>
      </c>
      <c r="K2" s="10"/>
      <c r="L2" s="10" t="s">
        <v>1261</v>
      </c>
      <c r="M2" s="10" t="s">
        <v>1271</v>
      </c>
      <c r="N2" s="25" t="s">
        <v>1272</v>
      </c>
      <c r="O2" s="22" t="s">
        <v>1274</v>
      </c>
    </row>
    <row r="3" spans="1:15" ht="15.75" thickBot="1" x14ac:dyDescent="0.3">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75" thickBot="1" x14ac:dyDescent="0.3">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75" thickBot="1" x14ac:dyDescent="0.3">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75" thickBot="1" x14ac:dyDescent="0.3">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75" thickBot="1" x14ac:dyDescent="0.3">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75" thickBot="1" x14ac:dyDescent="0.3">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75" thickBot="1" x14ac:dyDescent="0.3">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75" thickBot="1" x14ac:dyDescent="0.3">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75" thickBot="1" x14ac:dyDescent="0.3">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75" thickBot="1" x14ac:dyDescent="0.3">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75" thickBot="1" x14ac:dyDescent="0.3">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75" thickBot="1" x14ac:dyDescent="0.3">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75" thickBot="1" x14ac:dyDescent="0.3">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75" thickBot="1" x14ac:dyDescent="0.3">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75" thickBot="1" x14ac:dyDescent="0.3">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75" thickBot="1" x14ac:dyDescent="0.3">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75" thickBot="1" x14ac:dyDescent="0.3">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75" thickBot="1" x14ac:dyDescent="0.3">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75" thickBot="1" x14ac:dyDescent="0.3">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75" thickBot="1" x14ac:dyDescent="0.3">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75" thickBot="1" x14ac:dyDescent="0.3">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75" thickBot="1" x14ac:dyDescent="0.3">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75" thickBot="1" x14ac:dyDescent="0.3">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75" thickBot="1" x14ac:dyDescent="0.3">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75" thickBot="1" x14ac:dyDescent="0.3">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75" thickBot="1" x14ac:dyDescent="0.3">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75" thickBot="1" x14ac:dyDescent="0.3">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75" thickBot="1" x14ac:dyDescent="0.3">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75" thickBot="1" x14ac:dyDescent="0.3">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75" thickBot="1" x14ac:dyDescent="0.3">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75" thickBot="1" x14ac:dyDescent="0.3">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75" thickBot="1" x14ac:dyDescent="0.3">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75" thickBot="1" x14ac:dyDescent="0.3">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75" thickBot="1" x14ac:dyDescent="0.3">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75" thickBot="1" x14ac:dyDescent="0.3">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75" thickBot="1" x14ac:dyDescent="0.3">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75" thickBot="1" x14ac:dyDescent="0.3">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75" thickBot="1" x14ac:dyDescent="0.3">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75" thickBot="1" x14ac:dyDescent="0.3">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75" thickBot="1" x14ac:dyDescent="0.3">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75" thickBot="1" x14ac:dyDescent="0.3">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75" thickBot="1" x14ac:dyDescent="0.3">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75" thickBot="1" x14ac:dyDescent="0.3">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75" thickBot="1" x14ac:dyDescent="0.3">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75" thickBot="1" x14ac:dyDescent="0.3">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75" thickBot="1" x14ac:dyDescent="0.3">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75" thickBot="1" x14ac:dyDescent="0.3">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75" thickBot="1" x14ac:dyDescent="0.3">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P37"/>
  <sheetViews>
    <sheetView workbookViewId="0">
      <selection activeCell="Q6" sqref="Q6"/>
    </sheetView>
  </sheetViews>
  <sheetFormatPr defaultRowHeight="15" x14ac:dyDescent="0.25"/>
  <sheetData>
    <row r="1" spans="1:16" s="28" customFormat="1" ht="15.75" thickBot="1" x14ac:dyDescent="0.3">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75" thickBot="1" x14ac:dyDescent="0.3">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75" thickBot="1" x14ac:dyDescent="0.3">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75" thickBot="1" x14ac:dyDescent="0.3">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75" thickBot="1" x14ac:dyDescent="0.3">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75" thickBot="1" x14ac:dyDescent="0.3">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75" thickBot="1" x14ac:dyDescent="0.3">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75" thickBot="1" x14ac:dyDescent="0.3">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75" thickBot="1" x14ac:dyDescent="0.3">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75" thickBot="1" x14ac:dyDescent="0.3">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75" thickBot="1" x14ac:dyDescent="0.3">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75" thickBot="1" x14ac:dyDescent="0.3">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75" thickBot="1" x14ac:dyDescent="0.3">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75" thickBot="1" x14ac:dyDescent="0.3">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75" thickBot="1" x14ac:dyDescent="0.3">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75" thickBot="1" x14ac:dyDescent="0.3">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75" thickBot="1" x14ac:dyDescent="0.3">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75" thickBot="1" x14ac:dyDescent="0.3">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75" thickBot="1" x14ac:dyDescent="0.3">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75" thickBot="1" x14ac:dyDescent="0.3">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75" thickBot="1" x14ac:dyDescent="0.3">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75" thickBot="1" x14ac:dyDescent="0.3">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75" thickBot="1" x14ac:dyDescent="0.3">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75" thickBot="1" x14ac:dyDescent="0.3">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75" thickBot="1" x14ac:dyDescent="0.3">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75" thickBot="1" x14ac:dyDescent="0.3">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75" thickBot="1" x14ac:dyDescent="0.3">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75" thickBot="1" x14ac:dyDescent="0.3">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75" thickBot="1" x14ac:dyDescent="0.3">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75" thickBot="1" x14ac:dyDescent="0.3">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75" thickBot="1" x14ac:dyDescent="0.3">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75" thickBot="1" x14ac:dyDescent="0.3">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75" thickBot="1" x14ac:dyDescent="0.3">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75" thickBot="1" x14ac:dyDescent="0.3">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75" thickBot="1" x14ac:dyDescent="0.3">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75" thickBot="1" x14ac:dyDescent="0.3">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75" thickBot="1" x14ac:dyDescent="0.3">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P48"/>
  <sheetViews>
    <sheetView workbookViewId="0">
      <selection activeCell="A48" sqref="A1:A48"/>
    </sheetView>
  </sheetViews>
  <sheetFormatPr defaultRowHeight="15" x14ac:dyDescent="0.25"/>
  <sheetData>
    <row r="1" spans="1:16" s="28" customFormat="1" ht="15.75" thickBot="1" x14ac:dyDescent="0.3">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75" thickBot="1" x14ac:dyDescent="0.3">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75" thickBot="1" x14ac:dyDescent="0.3">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75" thickBot="1" x14ac:dyDescent="0.3">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75" thickBot="1" x14ac:dyDescent="0.3">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75" thickBot="1" x14ac:dyDescent="0.3">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75" thickBot="1" x14ac:dyDescent="0.3">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75" thickBot="1" x14ac:dyDescent="0.3">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75" thickBot="1" x14ac:dyDescent="0.3">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75" thickBot="1" x14ac:dyDescent="0.3">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75" thickBot="1" x14ac:dyDescent="0.3">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75" thickBot="1" x14ac:dyDescent="0.3">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75" thickBot="1" x14ac:dyDescent="0.3">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75" thickBot="1" x14ac:dyDescent="0.3">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75" thickBot="1" x14ac:dyDescent="0.3">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75" thickBot="1" x14ac:dyDescent="0.3">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75" thickBot="1" x14ac:dyDescent="0.3">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75" thickBot="1" x14ac:dyDescent="0.3">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75" thickBot="1" x14ac:dyDescent="0.3">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75" thickBot="1" x14ac:dyDescent="0.3">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75" thickBot="1" x14ac:dyDescent="0.3">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75" thickBot="1" x14ac:dyDescent="0.3">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75" thickBot="1" x14ac:dyDescent="0.3">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75" thickBot="1" x14ac:dyDescent="0.3">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75" thickBot="1" x14ac:dyDescent="0.3">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75" thickBot="1" x14ac:dyDescent="0.3">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75" thickBot="1" x14ac:dyDescent="0.3">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75" thickBot="1" x14ac:dyDescent="0.3">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75" thickBot="1" x14ac:dyDescent="0.3">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75" thickBot="1" x14ac:dyDescent="0.3">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75" thickBot="1" x14ac:dyDescent="0.3">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75" thickBot="1" x14ac:dyDescent="0.3">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75" thickBot="1" x14ac:dyDescent="0.3">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75" thickBot="1" x14ac:dyDescent="0.3">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75" thickBot="1" x14ac:dyDescent="0.3">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75" thickBot="1" x14ac:dyDescent="0.3">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75" thickBot="1" x14ac:dyDescent="0.3">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75" thickBot="1" x14ac:dyDescent="0.3">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75" thickBot="1" x14ac:dyDescent="0.3">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75" thickBot="1" x14ac:dyDescent="0.3">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75" thickBot="1" x14ac:dyDescent="0.3">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75" thickBot="1" x14ac:dyDescent="0.3">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75" thickBot="1" x14ac:dyDescent="0.3">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75" thickBot="1" x14ac:dyDescent="0.3">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75" thickBot="1" x14ac:dyDescent="0.3">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75" thickBot="1" x14ac:dyDescent="0.3">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75" thickBot="1" x14ac:dyDescent="0.3">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25">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10"/>
  <sheetViews>
    <sheetView workbookViewId="0">
      <selection sqref="A1:A10"/>
    </sheetView>
  </sheetViews>
  <sheetFormatPr defaultRowHeight="15" x14ac:dyDescent="0.25"/>
  <cols>
    <col min="1" max="1" width="43.7109375" bestFit="1" customWidth="1"/>
  </cols>
  <sheetData>
    <row r="1" spans="1:1" x14ac:dyDescent="0.25">
      <c r="A1" s="28" t="s">
        <v>1433</v>
      </c>
    </row>
    <row r="2" spans="1:1" x14ac:dyDescent="0.25">
      <c r="A2" s="28" t="s">
        <v>1434</v>
      </c>
    </row>
    <row r="3" spans="1:1" x14ac:dyDescent="0.25">
      <c r="A3" s="28" t="s">
        <v>1435</v>
      </c>
    </row>
    <row r="4" spans="1:1" x14ac:dyDescent="0.25">
      <c r="A4" s="28" t="s">
        <v>1436</v>
      </c>
    </row>
    <row r="5" spans="1:1" x14ac:dyDescent="0.25">
      <c r="A5" s="28" t="s">
        <v>1437</v>
      </c>
    </row>
    <row r="6" spans="1:1" x14ac:dyDescent="0.25">
      <c r="A6" s="28" t="s">
        <v>1438</v>
      </c>
    </row>
    <row r="7" spans="1:1" x14ac:dyDescent="0.25">
      <c r="A7" s="28" t="s">
        <v>1439</v>
      </c>
    </row>
    <row r="8" spans="1:1" x14ac:dyDescent="0.25">
      <c r="A8" s="28" t="s">
        <v>1440</v>
      </c>
    </row>
    <row r="9" spans="1:1" x14ac:dyDescent="0.25">
      <c r="A9" s="28" t="s">
        <v>1441</v>
      </c>
    </row>
    <row r="10" spans="1:1" x14ac:dyDescent="0.2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109"/>
  <sheetViews>
    <sheetView topLeftCell="E1" workbookViewId="0">
      <selection activeCell="P10" sqref="P10"/>
    </sheetView>
  </sheetViews>
  <sheetFormatPr defaultColWidth="9.28515625" defaultRowHeight="15" x14ac:dyDescent="0.25"/>
  <cols>
    <col min="1" max="1" width="8.5703125" style="28" bestFit="1" customWidth="1"/>
    <col min="2" max="2" width="11.7109375" style="28" bestFit="1" customWidth="1"/>
    <col min="3" max="3" width="13.42578125" style="28" bestFit="1" customWidth="1"/>
    <col min="4" max="4" width="31.7109375" style="28" bestFit="1" customWidth="1"/>
    <col min="5" max="5" width="26.7109375" style="28" bestFit="1" customWidth="1"/>
    <col min="6" max="6" width="48.28515625" style="28" bestFit="1" customWidth="1"/>
    <col min="7" max="7" width="8.42578125" style="28" bestFit="1" customWidth="1"/>
    <col min="8" max="8" width="15.28515625" style="28" bestFit="1" customWidth="1"/>
    <col min="9" max="9" width="8.7109375" style="28" bestFit="1" customWidth="1"/>
    <col min="10" max="10" width="10" style="28" bestFit="1" customWidth="1"/>
    <col min="11" max="16384" width="9.28515625" style="28"/>
  </cols>
  <sheetData>
    <row r="1" spans="1:16" x14ac:dyDescent="0.2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x14ac:dyDescent="0.2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x14ac:dyDescent="0.2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x14ac:dyDescent="0.2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x14ac:dyDescent="0.2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x14ac:dyDescent="0.2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x14ac:dyDescent="0.2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x14ac:dyDescent="0.2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x14ac:dyDescent="0.2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x14ac:dyDescent="0.2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x14ac:dyDescent="0.2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x14ac:dyDescent="0.2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x14ac:dyDescent="0.2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x14ac:dyDescent="0.2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x14ac:dyDescent="0.2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x14ac:dyDescent="0.2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x14ac:dyDescent="0.2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x14ac:dyDescent="0.2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x14ac:dyDescent="0.2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x14ac:dyDescent="0.2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x14ac:dyDescent="0.2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x14ac:dyDescent="0.2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x14ac:dyDescent="0.2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x14ac:dyDescent="0.2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x14ac:dyDescent="0.2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x14ac:dyDescent="0.2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25">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25">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25">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25">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25">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25">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25">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25">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25">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25">
      <c r="A36" s="28">
        <v>2015</v>
      </c>
      <c r="B36" s="28" t="s">
        <v>47</v>
      </c>
      <c r="C36" s="28" t="s">
        <v>310</v>
      </c>
      <c r="D36" s="28" t="s">
        <v>309</v>
      </c>
      <c r="E36" s="28" t="s">
        <v>679</v>
      </c>
      <c r="F36" s="28" t="s">
        <v>786</v>
      </c>
      <c r="G36" s="28" t="s">
        <v>47</v>
      </c>
      <c r="H36" s="28">
        <v>122.45</v>
      </c>
      <c r="J36" s="28">
        <v>44694.25</v>
      </c>
    </row>
    <row r="37" spans="1:16" x14ac:dyDescent="0.25">
      <c r="A37" s="28">
        <v>2015</v>
      </c>
      <c r="B37" s="28" t="s">
        <v>47</v>
      </c>
      <c r="C37" s="28" t="s">
        <v>102</v>
      </c>
      <c r="D37" s="28" t="s">
        <v>101</v>
      </c>
      <c r="E37" s="28" t="s">
        <v>680</v>
      </c>
      <c r="F37" s="28" t="s">
        <v>787</v>
      </c>
      <c r="G37" s="28" t="s">
        <v>47</v>
      </c>
      <c r="H37" s="28">
        <v>171.62</v>
      </c>
      <c r="J37" s="28">
        <v>62641.3</v>
      </c>
    </row>
    <row r="38" spans="1:16" x14ac:dyDescent="0.25">
      <c r="A38" s="28">
        <v>2015</v>
      </c>
      <c r="B38" s="28" t="s">
        <v>47</v>
      </c>
      <c r="C38" s="28" t="s">
        <v>64</v>
      </c>
      <c r="D38" s="36" t="s">
        <v>63</v>
      </c>
      <c r="E38" s="36" t="s">
        <v>681</v>
      </c>
      <c r="F38" s="36" t="s">
        <v>788</v>
      </c>
      <c r="G38" s="36" t="s">
        <v>47</v>
      </c>
      <c r="H38" s="36">
        <v>138.53</v>
      </c>
      <c r="J38" s="28">
        <v>50563.45</v>
      </c>
    </row>
    <row r="39" spans="1:16" x14ac:dyDescent="0.25">
      <c r="A39" s="28">
        <v>2015</v>
      </c>
      <c r="B39" s="28" t="s">
        <v>47</v>
      </c>
      <c r="C39" s="28" t="s">
        <v>223</v>
      </c>
      <c r="D39" s="28" t="s">
        <v>222</v>
      </c>
      <c r="E39" s="28" t="s">
        <v>682</v>
      </c>
      <c r="F39" s="28" t="s">
        <v>789</v>
      </c>
      <c r="G39" s="28" t="s">
        <v>47</v>
      </c>
      <c r="H39" s="28">
        <v>187.71</v>
      </c>
      <c r="J39" s="28">
        <v>68514.150000000009</v>
      </c>
    </row>
    <row r="40" spans="1:16" x14ac:dyDescent="0.25">
      <c r="A40" s="28">
        <v>2015</v>
      </c>
      <c r="B40" s="28" t="s">
        <v>47</v>
      </c>
      <c r="C40" s="28" t="s">
        <v>147</v>
      </c>
      <c r="D40" s="28" t="s">
        <v>146</v>
      </c>
      <c r="E40" s="28" t="s">
        <v>683</v>
      </c>
      <c r="F40" s="28" t="s">
        <v>795</v>
      </c>
      <c r="G40" s="28" t="s">
        <v>47</v>
      </c>
      <c r="H40" s="28">
        <v>158.63999999999999</v>
      </c>
      <c r="J40" s="28">
        <v>57903.6</v>
      </c>
    </row>
    <row r="41" spans="1:16" x14ac:dyDescent="0.25">
      <c r="A41" s="28">
        <v>2015</v>
      </c>
      <c r="B41" s="28" t="s">
        <v>47</v>
      </c>
      <c r="C41" s="28" t="s">
        <v>142</v>
      </c>
      <c r="D41" s="28" t="s">
        <v>141</v>
      </c>
      <c r="E41" s="28" t="s">
        <v>684</v>
      </c>
      <c r="F41" s="28" t="s">
        <v>796</v>
      </c>
      <c r="G41" s="28" t="s">
        <v>47</v>
      </c>
      <c r="H41" s="28">
        <v>241.79</v>
      </c>
      <c r="J41" s="28">
        <v>88253.349999999991</v>
      </c>
    </row>
    <row r="42" spans="1:16" x14ac:dyDescent="0.25">
      <c r="A42" s="28">
        <v>2015</v>
      </c>
      <c r="B42" s="28" t="s">
        <v>47</v>
      </c>
      <c r="C42" s="28" t="s">
        <v>329</v>
      </c>
      <c r="D42" s="28" t="s">
        <v>328</v>
      </c>
      <c r="E42" s="28" t="s">
        <v>685</v>
      </c>
      <c r="F42" s="28" t="s">
        <v>797</v>
      </c>
      <c r="G42" s="28" t="s">
        <v>47</v>
      </c>
      <c r="H42" s="28">
        <v>179.58</v>
      </c>
      <c r="J42" s="28">
        <v>65546.700000000012</v>
      </c>
    </row>
    <row r="43" spans="1:16" x14ac:dyDescent="0.25">
      <c r="A43" s="28">
        <v>2015</v>
      </c>
      <c r="B43" s="28" t="s">
        <v>47</v>
      </c>
      <c r="C43" s="28" t="s">
        <v>183</v>
      </c>
      <c r="D43" s="28" t="s">
        <v>182</v>
      </c>
      <c r="E43" s="28" t="s">
        <v>686</v>
      </c>
      <c r="F43" s="28" t="s">
        <v>798</v>
      </c>
      <c r="G43" s="28" t="s">
        <v>47</v>
      </c>
      <c r="H43" s="28">
        <v>262.73</v>
      </c>
      <c r="J43" s="28">
        <v>95896.450000000012</v>
      </c>
    </row>
    <row r="44" spans="1:16" x14ac:dyDescent="0.25">
      <c r="A44" s="28">
        <v>2015</v>
      </c>
      <c r="B44" s="28" t="s">
        <v>47</v>
      </c>
      <c r="C44" s="28" t="s">
        <v>373</v>
      </c>
      <c r="D44" s="28" t="s">
        <v>372</v>
      </c>
      <c r="E44" s="28" t="s">
        <v>687</v>
      </c>
      <c r="F44" s="28" t="s">
        <v>804</v>
      </c>
      <c r="G44" s="28" t="s">
        <v>47</v>
      </c>
      <c r="H44" s="28">
        <v>154.12</v>
      </c>
      <c r="J44" s="28">
        <v>56253.8</v>
      </c>
    </row>
    <row r="45" spans="1:16" x14ac:dyDescent="0.25">
      <c r="A45" s="28">
        <v>2015</v>
      </c>
      <c r="B45" s="28" t="s">
        <v>47</v>
      </c>
      <c r="C45" s="28" t="s">
        <v>250</v>
      </c>
      <c r="D45" s="28" t="s">
        <v>249</v>
      </c>
      <c r="E45" s="28" t="s">
        <v>688</v>
      </c>
      <c r="F45" s="28" t="s">
        <v>805</v>
      </c>
      <c r="G45" s="28" t="s">
        <v>47</v>
      </c>
      <c r="H45" s="28">
        <v>203.3</v>
      </c>
      <c r="J45" s="28">
        <v>74204.5</v>
      </c>
    </row>
    <row r="46" spans="1:16" x14ac:dyDescent="0.25">
      <c r="A46" s="28">
        <v>2015</v>
      </c>
      <c r="B46" s="28" t="s">
        <v>47</v>
      </c>
      <c r="C46" s="28" t="s">
        <v>282</v>
      </c>
      <c r="D46" s="28" t="s">
        <v>281</v>
      </c>
      <c r="E46" s="28" t="s">
        <v>689</v>
      </c>
      <c r="F46" s="28" t="s">
        <v>806</v>
      </c>
      <c r="G46" s="28" t="s">
        <v>47</v>
      </c>
      <c r="H46" s="28">
        <v>169.36</v>
      </c>
      <c r="J46" s="28">
        <v>61816.4</v>
      </c>
    </row>
    <row r="47" spans="1:16" x14ac:dyDescent="0.25">
      <c r="A47" s="28">
        <v>2015</v>
      </c>
      <c r="B47" s="28" t="s">
        <v>47</v>
      </c>
      <c r="C47" s="28" t="s">
        <v>352</v>
      </c>
      <c r="D47" s="28" t="s">
        <v>351</v>
      </c>
      <c r="E47" s="28" t="s">
        <v>690</v>
      </c>
      <c r="F47" s="28" t="s">
        <v>807</v>
      </c>
      <c r="G47" s="28" t="s">
        <v>47</v>
      </c>
      <c r="H47" s="28">
        <v>218.54</v>
      </c>
      <c r="J47" s="28">
        <v>79767.099999999991</v>
      </c>
    </row>
    <row r="48" spans="1:16" x14ac:dyDescent="0.25">
      <c r="A48" s="28">
        <v>2015</v>
      </c>
      <c r="B48" s="28" t="s">
        <v>47</v>
      </c>
      <c r="C48" s="28" t="s">
        <v>126</v>
      </c>
      <c r="D48" s="28" t="s">
        <v>125</v>
      </c>
      <c r="E48" s="28" t="s">
        <v>691</v>
      </c>
      <c r="F48" s="28" t="s">
        <v>745</v>
      </c>
      <c r="G48" s="28" t="s">
        <v>47</v>
      </c>
      <c r="H48" s="28">
        <v>129.03</v>
      </c>
      <c r="J48" s="28">
        <v>47095.95</v>
      </c>
    </row>
    <row r="49" spans="1:10" x14ac:dyDescent="0.25">
      <c r="A49" s="28">
        <v>2015</v>
      </c>
      <c r="B49" s="28" t="s">
        <v>47</v>
      </c>
      <c r="C49" s="28" t="s">
        <v>257</v>
      </c>
      <c r="D49" s="28" t="s">
        <v>256</v>
      </c>
      <c r="E49" s="28" t="s">
        <v>692</v>
      </c>
      <c r="F49" s="28" t="s">
        <v>748</v>
      </c>
      <c r="G49" s="28" t="s">
        <v>47</v>
      </c>
      <c r="H49" s="28">
        <v>167.75</v>
      </c>
      <c r="J49" s="28">
        <v>61228.75</v>
      </c>
    </row>
    <row r="50" spans="1:10" x14ac:dyDescent="0.25">
      <c r="A50" s="28">
        <v>2015</v>
      </c>
      <c r="B50" s="28" t="s">
        <v>47</v>
      </c>
      <c r="C50" s="28" t="s">
        <v>272</v>
      </c>
      <c r="D50" s="28" t="s">
        <v>271</v>
      </c>
      <c r="E50" s="28" t="s">
        <v>693</v>
      </c>
      <c r="F50" s="28" t="s">
        <v>750</v>
      </c>
      <c r="G50" s="28" t="s">
        <v>47</v>
      </c>
      <c r="H50" s="28">
        <v>208.01</v>
      </c>
      <c r="J50" s="28">
        <v>75923.649999999994</v>
      </c>
    </row>
    <row r="51" spans="1:10" x14ac:dyDescent="0.25">
      <c r="A51" s="28">
        <v>2015</v>
      </c>
      <c r="B51" s="28" t="s">
        <v>47</v>
      </c>
      <c r="C51" s="28" t="s">
        <v>241</v>
      </c>
      <c r="D51" s="28" t="s">
        <v>240</v>
      </c>
      <c r="E51" s="28" t="s">
        <v>694</v>
      </c>
      <c r="F51" s="28" t="s">
        <v>752</v>
      </c>
      <c r="G51" s="28" t="s">
        <v>47</v>
      </c>
      <c r="H51" s="28">
        <v>246.46</v>
      </c>
      <c r="J51" s="28">
        <v>89957.900000000009</v>
      </c>
    </row>
    <row r="52" spans="1:10" x14ac:dyDescent="0.25">
      <c r="A52" s="28">
        <v>2015</v>
      </c>
      <c r="B52" s="28" t="s">
        <v>47</v>
      </c>
      <c r="C52" s="28" t="s">
        <v>206</v>
      </c>
      <c r="D52" s="28" t="s">
        <v>205</v>
      </c>
      <c r="E52" s="28" t="s">
        <v>695</v>
      </c>
      <c r="F52" s="28" t="s">
        <v>754</v>
      </c>
      <c r="G52" s="28" t="s">
        <v>47</v>
      </c>
      <c r="H52" s="28">
        <v>245.29</v>
      </c>
      <c r="J52" s="28">
        <v>89530.849999999991</v>
      </c>
    </row>
    <row r="53" spans="1:10" x14ac:dyDescent="0.25">
      <c r="A53" s="28">
        <v>2015</v>
      </c>
      <c r="B53" s="28" t="s">
        <v>47</v>
      </c>
      <c r="C53" s="28" t="s">
        <v>566</v>
      </c>
      <c r="D53" s="28" t="s">
        <v>565</v>
      </c>
      <c r="E53" s="28" t="s">
        <v>696</v>
      </c>
      <c r="F53" s="28" t="s">
        <v>746</v>
      </c>
      <c r="G53" s="28" t="s">
        <v>47</v>
      </c>
      <c r="H53" s="28">
        <v>320.95999999999998</v>
      </c>
      <c r="J53" s="28">
        <v>117150.39999999999</v>
      </c>
    </row>
    <row r="54" spans="1:10" x14ac:dyDescent="0.25">
      <c r="A54" s="28">
        <v>2015</v>
      </c>
      <c r="B54" s="28" t="s">
        <v>47</v>
      </c>
      <c r="C54" s="28" t="s">
        <v>217</v>
      </c>
      <c r="D54" s="28" t="s">
        <v>814</v>
      </c>
      <c r="E54" s="28" t="s">
        <v>815</v>
      </c>
      <c r="F54" s="28" t="s">
        <v>816</v>
      </c>
      <c r="G54" s="28" t="s">
        <v>47</v>
      </c>
      <c r="H54" s="28">
        <v>86.31</v>
      </c>
      <c r="J54" s="28">
        <v>31503.15</v>
      </c>
    </row>
    <row r="55" spans="1:10" x14ac:dyDescent="0.25">
      <c r="A55" s="28">
        <v>2015</v>
      </c>
      <c r="B55" s="28" t="s">
        <v>47</v>
      </c>
      <c r="C55" s="28" t="s">
        <v>112</v>
      </c>
      <c r="D55" s="28" t="s">
        <v>817</v>
      </c>
      <c r="E55" s="28" t="s">
        <v>818</v>
      </c>
      <c r="F55" s="28" t="s">
        <v>819</v>
      </c>
      <c r="G55" s="28" t="s">
        <v>47</v>
      </c>
      <c r="H55" s="28">
        <v>130.66</v>
      </c>
      <c r="J55" s="28">
        <v>47690.9</v>
      </c>
    </row>
    <row r="56" spans="1:10" x14ac:dyDescent="0.25">
      <c r="A56" s="28">
        <v>2015</v>
      </c>
      <c r="B56" s="28" t="s">
        <v>47</v>
      </c>
      <c r="C56" s="28" t="s">
        <v>123</v>
      </c>
      <c r="D56" s="28" t="s">
        <v>826</v>
      </c>
      <c r="E56" s="28" t="s">
        <v>827</v>
      </c>
      <c r="F56" s="28" t="s">
        <v>828</v>
      </c>
      <c r="G56" s="28" t="s">
        <v>47</v>
      </c>
      <c r="H56" s="28">
        <v>114.28</v>
      </c>
      <c r="J56" s="28">
        <v>41712.199999999997</v>
      </c>
    </row>
    <row r="57" spans="1:10" x14ac:dyDescent="0.25">
      <c r="A57" s="28">
        <v>2015</v>
      </c>
      <c r="B57" s="28" t="s">
        <v>47</v>
      </c>
      <c r="C57" s="28" t="s">
        <v>278</v>
      </c>
      <c r="D57" s="28" t="s">
        <v>829</v>
      </c>
      <c r="E57" s="28" t="s">
        <v>830</v>
      </c>
      <c r="F57" s="28" t="s">
        <v>831</v>
      </c>
      <c r="G57" s="28" t="s">
        <v>47</v>
      </c>
      <c r="H57" s="28">
        <v>154.66</v>
      </c>
      <c r="J57" s="28">
        <v>56450.9</v>
      </c>
    </row>
    <row r="58" spans="1:10" x14ac:dyDescent="0.25">
      <c r="A58" s="28">
        <v>2015</v>
      </c>
      <c r="B58" s="28" t="s">
        <v>47</v>
      </c>
      <c r="C58" s="28" t="s">
        <v>255</v>
      </c>
      <c r="D58" s="28" t="s">
        <v>844</v>
      </c>
      <c r="E58" s="28" t="s">
        <v>845</v>
      </c>
      <c r="F58" s="28" t="s">
        <v>846</v>
      </c>
      <c r="G58" s="28" t="s">
        <v>47</v>
      </c>
      <c r="H58" s="28">
        <v>100.3</v>
      </c>
      <c r="J58" s="28">
        <v>36609.5</v>
      </c>
    </row>
    <row r="59" spans="1:10" x14ac:dyDescent="0.25">
      <c r="A59" s="28">
        <v>2015</v>
      </c>
      <c r="B59" s="28" t="s">
        <v>47</v>
      </c>
      <c r="C59" s="28" t="s">
        <v>137</v>
      </c>
      <c r="D59" s="28" t="s">
        <v>847</v>
      </c>
      <c r="E59" s="28" t="s">
        <v>848</v>
      </c>
      <c r="F59" s="28" t="s">
        <v>849</v>
      </c>
      <c r="G59" s="28" t="s">
        <v>47</v>
      </c>
      <c r="H59" s="28">
        <v>144.66</v>
      </c>
      <c r="J59" s="28">
        <v>52800.9</v>
      </c>
    </row>
    <row r="60" spans="1:10" x14ac:dyDescent="0.25">
      <c r="A60" s="28">
        <v>2015</v>
      </c>
      <c r="B60" s="28" t="s">
        <v>47</v>
      </c>
      <c r="C60" s="28" t="s">
        <v>181</v>
      </c>
      <c r="D60" s="28" t="s">
        <v>850</v>
      </c>
      <c r="E60" s="28" t="s">
        <v>851</v>
      </c>
      <c r="F60" s="28" t="s">
        <v>852</v>
      </c>
      <c r="G60" s="28" t="s">
        <v>47</v>
      </c>
      <c r="H60" s="28">
        <v>123.62</v>
      </c>
      <c r="J60" s="28">
        <v>45121.3</v>
      </c>
    </row>
    <row r="61" spans="1:10" x14ac:dyDescent="0.25">
      <c r="A61" s="28">
        <v>2015</v>
      </c>
      <c r="B61" s="28" t="s">
        <v>47</v>
      </c>
      <c r="C61" s="28" t="s">
        <v>301</v>
      </c>
      <c r="D61" s="28" t="s">
        <v>853</v>
      </c>
      <c r="E61" s="28" t="s">
        <v>854</v>
      </c>
      <c r="F61" s="28" t="s">
        <v>855</v>
      </c>
      <c r="G61" s="28" t="s">
        <v>47</v>
      </c>
      <c r="H61" s="28">
        <v>167.97</v>
      </c>
      <c r="J61" s="28">
        <v>61309.05</v>
      </c>
    </row>
    <row r="62" spans="1:10" x14ac:dyDescent="0.25">
      <c r="A62" s="28">
        <v>2015</v>
      </c>
      <c r="B62" s="28" t="s">
        <v>47</v>
      </c>
      <c r="C62" s="28" t="s">
        <v>343</v>
      </c>
      <c r="D62" s="28" t="s">
        <v>868</v>
      </c>
      <c r="E62" s="28" t="s">
        <v>869</v>
      </c>
      <c r="F62" s="28" t="s">
        <v>870</v>
      </c>
      <c r="G62" s="28" t="s">
        <v>47</v>
      </c>
      <c r="H62" s="28">
        <v>116.06</v>
      </c>
      <c r="J62" s="28">
        <v>42361.9</v>
      </c>
    </row>
    <row r="63" spans="1:10" x14ac:dyDescent="0.25">
      <c r="A63" s="28">
        <v>2015</v>
      </c>
      <c r="B63" s="28" t="s">
        <v>47</v>
      </c>
      <c r="C63" s="28" t="s">
        <v>337</v>
      </c>
      <c r="D63" s="28" t="s">
        <v>871</v>
      </c>
      <c r="E63" s="28" t="s">
        <v>872</v>
      </c>
      <c r="F63" s="28" t="s">
        <v>873</v>
      </c>
      <c r="G63" s="28" t="s">
        <v>47</v>
      </c>
      <c r="H63" s="28">
        <v>156.43</v>
      </c>
      <c r="J63" s="28">
        <v>57096.950000000004</v>
      </c>
    </row>
    <row r="64" spans="1:10" x14ac:dyDescent="0.25">
      <c r="A64" s="28">
        <v>2015</v>
      </c>
      <c r="B64" s="28" t="s">
        <v>47</v>
      </c>
      <c r="C64" s="28" t="s">
        <v>233</v>
      </c>
      <c r="D64" s="28" t="s">
        <v>874</v>
      </c>
      <c r="E64" s="28" t="s">
        <v>875</v>
      </c>
      <c r="F64" s="28" t="s">
        <v>876</v>
      </c>
      <c r="G64" s="28" t="s">
        <v>47</v>
      </c>
      <c r="H64" s="28">
        <v>139.88999999999999</v>
      </c>
      <c r="J64" s="28">
        <v>51059.85</v>
      </c>
    </row>
    <row r="65" spans="1:10" x14ac:dyDescent="0.25">
      <c r="A65" s="28">
        <v>2015</v>
      </c>
      <c r="B65" s="28" t="s">
        <v>47</v>
      </c>
      <c r="C65" s="28" t="s">
        <v>273</v>
      </c>
      <c r="D65" s="28" t="s">
        <v>877</v>
      </c>
      <c r="E65" s="28" t="s">
        <v>878</v>
      </c>
      <c r="F65" s="28" t="s">
        <v>879</v>
      </c>
      <c r="G65" s="28" t="s">
        <v>47</v>
      </c>
      <c r="H65" s="28">
        <v>180.27</v>
      </c>
      <c r="J65" s="28">
        <v>65798.55</v>
      </c>
    </row>
    <row r="66" spans="1:10" x14ac:dyDescent="0.25">
      <c r="A66" s="28">
        <v>2015</v>
      </c>
      <c r="B66" s="28" t="s">
        <v>47</v>
      </c>
      <c r="C66" s="28" t="s">
        <v>143</v>
      </c>
      <c r="D66" s="28" t="s">
        <v>893</v>
      </c>
      <c r="E66" s="28" t="s">
        <v>894</v>
      </c>
      <c r="F66" s="28" t="s">
        <v>895</v>
      </c>
      <c r="G66" s="28" t="s">
        <v>47</v>
      </c>
      <c r="H66" s="28">
        <v>137.32</v>
      </c>
      <c r="J66" s="28">
        <v>50121.799999999996</v>
      </c>
    </row>
    <row r="67" spans="1:10" x14ac:dyDescent="0.25">
      <c r="A67" s="28">
        <v>2015</v>
      </c>
      <c r="B67" s="28" t="s">
        <v>47</v>
      </c>
      <c r="C67" s="28" t="s">
        <v>156</v>
      </c>
      <c r="D67" s="28" t="s">
        <v>896</v>
      </c>
      <c r="E67" s="28" t="s">
        <v>897</v>
      </c>
      <c r="F67" s="28" t="s">
        <v>898</v>
      </c>
      <c r="G67" s="28" t="s">
        <v>47</v>
      </c>
      <c r="H67" s="28">
        <v>181.68</v>
      </c>
      <c r="J67" s="28">
        <v>66313.2</v>
      </c>
    </row>
    <row r="68" spans="1:10" x14ac:dyDescent="0.25">
      <c r="A68" s="28">
        <v>2015</v>
      </c>
      <c r="B68" s="28" t="s">
        <v>47</v>
      </c>
      <c r="C68" s="28" t="s">
        <v>155</v>
      </c>
      <c r="D68" s="28" t="s">
        <v>899</v>
      </c>
      <c r="E68" s="28" t="s">
        <v>900</v>
      </c>
      <c r="F68" s="28" t="s">
        <v>901</v>
      </c>
      <c r="G68" s="28" t="s">
        <v>47</v>
      </c>
      <c r="H68" s="28">
        <v>165.77</v>
      </c>
      <c r="J68" s="28">
        <v>60506.05</v>
      </c>
    </row>
    <row r="69" spans="1:10" x14ac:dyDescent="0.25">
      <c r="A69" s="28">
        <v>2015</v>
      </c>
      <c r="B69" s="28" t="s">
        <v>47</v>
      </c>
      <c r="C69" s="28" t="s">
        <v>165</v>
      </c>
      <c r="D69" s="28" t="s">
        <v>902</v>
      </c>
      <c r="E69" s="28" t="s">
        <v>903</v>
      </c>
      <c r="F69" s="28" t="s">
        <v>904</v>
      </c>
      <c r="G69" s="28" t="s">
        <v>47</v>
      </c>
      <c r="H69" s="28">
        <v>210.12</v>
      </c>
      <c r="J69" s="28">
        <v>76693.8</v>
      </c>
    </row>
    <row r="70" spans="1:10" x14ac:dyDescent="0.25">
      <c r="A70" s="28">
        <v>2015</v>
      </c>
      <c r="B70" s="28" t="s">
        <v>47</v>
      </c>
      <c r="C70" s="28" t="s">
        <v>228</v>
      </c>
      <c r="D70" s="28" t="s">
        <v>918</v>
      </c>
      <c r="E70" s="28" t="s">
        <v>919</v>
      </c>
      <c r="F70" s="28" t="s">
        <v>920</v>
      </c>
      <c r="G70" s="28" t="s">
        <v>47</v>
      </c>
      <c r="H70" s="28">
        <v>150.75</v>
      </c>
      <c r="J70" s="28">
        <v>55023.75</v>
      </c>
    </row>
    <row r="71" spans="1:10" x14ac:dyDescent="0.25">
      <c r="A71" s="28">
        <v>2015</v>
      </c>
      <c r="B71" s="28" t="s">
        <v>47</v>
      </c>
      <c r="C71" s="28" t="s">
        <v>364</v>
      </c>
      <c r="D71" s="28" t="s">
        <v>921</v>
      </c>
      <c r="E71" s="28" t="s">
        <v>922</v>
      </c>
      <c r="F71" s="28" t="s">
        <v>923</v>
      </c>
      <c r="G71" s="28" t="s">
        <v>47</v>
      </c>
      <c r="H71" s="28">
        <v>191.13</v>
      </c>
      <c r="J71" s="28">
        <v>69762.45</v>
      </c>
    </row>
    <row r="72" spans="1:10" x14ac:dyDescent="0.25">
      <c r="A72" s="28">
        <v>2015</v>
      </c>
      <c r="B72" s="28" t="s">
        <v>47</v>
      </c>
      <c r="C72" s="28" t="s">
        <v>380</v>
      </c>
      <c r="D72" s="28" t="s">
        <v>924</v>
      </c>
      <c r="E72" s="28" t="s">
        <v>925</v>
      </c>
      <c r="F72" s="28" t="s">
        <v>926</v>
      </c>
      <c r="G72" s="28" t="s">
        <v>47</v>
      </c>
      <c r="H72" s="28">
        <v>184.16</v>
      </c>
      <c r="J72" s="28">
        <v>67218.399999999994</v>
      </c>
    </row>
    <row r="73" spans="1:10" x14ac:dyDescent="0.25">
      <c r="A73" s="28">
        <v>2015</v>
      </c>
      <c r="B73" s="28" t="s">
        <v>47</v>
      </c>
      <c r="C73" s="28" t="s">
        <v>289</v>
      </c>
      <c r="D73" s="28" t="s">
        <v>927</v>
      </c>
      <c r="E73" s="28" t="s">
        <v>928</v>
      </c>
      <c r="F73" s="28" t="s">
        <v>929</v>
      </c>
      <c r="G73" s="28" t="s">
        <v>47</v>
      </c>
      <c r="H73" s="28">
        <v>224.55</v>
      </c>
      <c r="J73" s="28">
        <v>81960.75</v>
      </c>
    </row>
    <row r="74" spans="1:10" x14ac:dyDescent="0.25">
      <c r="A74" s="28">
        <v>2015</v>
      </c>
      <c r="B74" s="28" t="s">
        <v>47</v>
      </c>
      <c r="C74" s="28" t="s">
        <v>162</v>
      </c>
      <c r="D74" s="28" t="s">
        <v>943</v>
      </c>
      <c r="E74" s="28" t="s">
        <v>944</v>
      </c>
      <c r="F74" s="28" t="s">
        <v>945</v>
      </c>
      <c r="G74" s="28" t="s">
        <v>47</v>
      </c>
      <c r="H74" s="28">
        <v>168.35</v>
      </c>
      <c r="J74" s="28">
        <v>61447.75</v>
      </c>
    </row>
    <row r="75" spans="1:10" x14ac:dyDescent="0.25">
      <c r="A75" s="28">
        <v>2015</v>
      </c>
      <c r="B75" s="28" t="s">
        <v>47</v>
      </c>
      <c r="C75" s="28" t="s">
        <v>68</v>
      </c>
      <c r="D75" s="28" t="s">
        <v>946</v>
      </c>
      <c r="E75" s="28" t="s">
        <v>947</v>
      </c>
      <c r="F75" s="28" t="s">
        <v>948</v>
      </c>
      <c r="G75" s="28" t="s">
        <v>47</v>
      </c>
      <c r="H75" s="28">
        <v>202.23</v>
      </c>
      <c r="J75" s="28">
        <v>73813.95</v>
      </c>
    </row>
    <row r="76" spans="1:10" x14ac:dyDescent="0.25">
      <c r="A76" s="28">
        <v>2015</v>
      </c>
      <c r="B76" s="28" t="s">
        <v>47</v>
      </c>
      <c r="C76" s="28" t="s">
        <v>178</v>
      </c>
      <c r="D76" s="28" t="s">
        <v>949</v>
      </c>
      <c r="E76" s="28" t="s">
        <v>950</v>
      </c>
      <c r="F76" s="28" t="s">
        <v>951</v>
      </c>
      <c r="G76" s="28" t="s">
        <v>47</v>
      </c>
      <c r="H76" s="28">
        <v>198.47</v>
      </c>
      <c r="J76" s="28">
        <v>72441.55</v>
      </c>
    </row>
    <row r="77" spans="1:10" x14ac:dyDescent="0.25">
      <c r="A77" s="28">
        <v>2015</v>
      </c>
      <c r="B77" s="28" t="s">
        <v>47</v>
      </c>
      <c r="C77" s="28" t="s">
        <v>134</v>
      </c>
      <c r="D77" s="28" t="s">
        <v>952</v>
      </c>
      <c r="E77" s="28" t="s">
        <v>953</v>
      </c>
      <c r="F77" s="28" t="s">
        <v>954</v>
      </c>
      <c r="G77" s="28" t="s">
        <v>47</v>
      </c>
      <c r="H77" s="28">
        <v>232.35</v>
      </c>
      <c r="J77" s="28">
        <v>84807.75</v>
      </c>
    </row>
    <row r="78" spans="1:10" x14ac:dyDescent="0.25">
      <c r="A78" s="28">
        <v>2015</v>
      </c>
      <c r="B78" s="28" t="s">
        <v>47</v>
      </c>
      <c r="C78" s="28" t="s">
        <v>360</v>
      </c>
      <c r="D78" s="28" t="s">
        <v>967</v>
      </c>
      <c r="E78" s="28" t="s">
        <v>968</v>
      </c>
      <c r="F78" s="28" t="s">
        <v>969</v>
      </c>
      <c r="G78" s="28" t="s">
        <v>47</v>
      </c>
      <c r="H78" s="28">
        <v>102.22</v>
      </c>
      <c r="J78" s="28">
        <v>37310.300000000003</v>
      </c>
    </row>
    <row r="79" spans="1:10" x14ac:dyDescent="0.25">
      <c r="A79" s="28">
        <v>2015</v>
      </c>
      <c r="B79" s="28" t="s">
        <v>47</v>
      </c>
      <c r="C79" s="28" t="s">
        <v>65</v>
      </c>
      <c r="D79" s="28" t="s">
        <v>970</v>
      </c>
      <c r="E79" s="28" t="s">
        <v>971</v>
      </c>
      <c r="F79" s="28" t="s">
        <v>972</v>
      </c>
      <c r="G79" s="28" t="s">
        <v>47</v>
      </c>
      <c r="H79" s="28">
        <v>152.26</v>
      </c>
      <c r="J79" s="28">
        <v>55574.899999999994</v>
      </c>
    </row>
    <row r="80" spans="1:10" x14ac:dyDescent="0.25">
      <c r="A80" s="28">
        <v>2015</v>
      </c>
      <c r="B80" s="28" t="s">
        <v>47</v>
      </c>
      <c r="C80" s="28" t="s">
        <v>307</v>
      </c>
      <c r="D80" s="28" t="s">
        <v>973</v>
      </c>
      <c r="E80" s="28" t="s">
        <v>974</v>
      </c>
      <c r="F80" s="28" t="s">
        <v>975</v>
      </c>
      <c r="G80" s="28" t="s">
        <v>47</v>
      </c>
      <c r="H80" s="28">
        <v>112.95</v>
      </c>
      <c r="J80" s="28">
        <v>41226.75</v>
      </c>
    </row>
    <row r="81" spans="1:10" x14ac:dyDescent="0.25">
      <c r="A81" s="28">
        <v>2015</v>
      </c>
      <c r="B81" s="28" t="s">
        <v>47</v>
      </c>
      <c r="C81" s="28" t="s">
        <v>57</v>
      </c>
      <c r="D81" s="28" t="s">
        <v>976</v>
      </c>
      <c r="E81" s="28" t="s">
        <v>977</v>
      </c>
      <c r="F81" s="28" t="s">
        <v>978</v>
      </c>
      <c r="G81" s="28" t="s">
        <v>47</v>
      </c>
      <c r="H81" s="28">
        <v>162.99</v>
      </c>
      <c r="J81" s="28">
        <v>59491.350000000006</v>
      </c>
    </row>
    <row r="82" spans="1:10" x14ac:dyDescent="0.25">
      <c r="A82" s="28">
        <v>2015</v>
      </c>
      <c r="B82" s="28" t="s">
        <v>47</v>
      </c>
      <c r="C82" s="28" t="s">
        <v>173</v>
      </c>
      <c r="D82" s="28" t="s">
        <v>991</v>
      </c>
      <c r="E82" s="28" t="s">
        <v>992</v>
      </c>
      <c r="F82" s="28" t="s">
        <v>993</v>
      </c>
      <c r="G82" s="28" t="s">
        <v>47</v>
      </c>
      <c r="H82" s="28">
        <v>199.88</v>
      </c>
      <c r="J82" s="28">
        <v>72956.2</v>
      </c>
    </row>
    <row r="83" spans="1:10" x14ac:dyDescent="0.25">
      <c r="A83" s="28">
        <v>2015</v>
      </c>
      <c r="B83" s="28" t="s">
        <v>47</v>
      </c>
      <c r="C83" s="28" t="s">
        <v>88</v>
      </c>
      <c r="D83" s="28" t="s">
        <v>994</v>
      </c>
      <c r="E83" s="28" t="s">
        <v>995</v>
      </c>
      <c r="F83" s="28" t="s">
        <v>996</v>
      </c>
      <c r="G83" s="28" t="s">
        <v>47</v>
      </c>
      <c r="H83" s="28">
        <v>264.02</v>
      </c>
      <c r="J83" s="28">
        <v>96367.299999999988</v>
      </c>
    </row>
    <row r="84" spans="1:10" x14ac:dyDescent="0.25">
      <c r="A84" s="28">
        <v>2015</v>
      </c>
      <c r="B84" s="28" t="s">
        <v>47</v>
      </c>
      <c r="C84" s="28" t="s">
        <v>227</v>
      </c>
      <c r="D84" s="28" t="s">
        <v>997</v>
      </c>
      <c r="E84" s="28" t="s">
        <v>998</v>
      </c>
      <c r="F84" s="28" t="s">
        <v>999</v>
      </c>
      <c r="G84" s="28" t="s">
        <v>47</v>
      </c>
      <c r="H84" s="28">
        <v>221.34</v>
      </c>
      <c r="J84" s="28">
        <v>80789.100000000006</v>
      </c>
    </row>
    <row r="85" spans="1:10" x14ac:dyDescent="0.25">
      <c r="A85" s="28">
        <v>2015</v>
      </c>
      <c r="B85" s="28" t="s">
        <v>47</v>
      </c>
      <c r="C85" s="28" t="s">
        <v>186</v>
      </c>
      <c r="D85" s="28" t="s">
        <v>1000</v>
      </c>
      <c r="E85" s="28" t="s">
        <v>1001</v>
      </c>
      <c r="F85" s="28" t="s">
        <v>1002</v>
      </c>
      <c r="G85" s="28" t="s">
        <v>47</v>
      </c>
      <c r="H85" s="28">
        <v>285.47000000000003</v>
      </c>
      <c r="J85" s="28">
        <v>104196.55</v>
      </c>
    </row>
    <row r="86" spans="1:10" x14ac:dyDescent="0.25">
      <c r="A86" s="28">
        <v>2015</v>
      </c>
      <c r="B86" s="28" t="s">
        <v>47</v>
      </c>
      <c r="C86" s="28" t="s">
        <v>195</v>
      </c>
      <c r="D86" s="28" t="s">
        <v>1015</v>
      </c>
      <c r="E86" s="28" t="s">
        <v>1016</v>
      </c>
      <c r="F86" s="28" t="s">
        <v>1017</v>
      </c>
      <c r="G86" s="28" t="s">
        <v>47</v>
      </c>
      <c r="H86" s="28">
        <v>233.06</v>
      </c>
      <c r="J86" s="28">
        <v>85066.9</v>
      </c>
    </row>
    <row r="87" spans="1:10" x14ac:dyDescent="0.25">
      <c r="A87" s="28">
        <v>2015</v>
      </c>
      <c r="B87" s="28" t="s">
        <v>47</v>
      </c>
      <c r="C87" s="28" t="s">
        <v>325</v>
      </c>
      <c r="D87" s="28" t="s">
        <v>1018</v>
      </c>
      <c r="E87" s="28" t="s">
        <v>1019</v>
      </c>
      <c r="F87" s="28" t="s">
        <v>1020</v>
      </c>
      <c r="G87" s="28" t="s">
        <v>47</v>
      </c>
      <c r="H87" s="28">
        <v>306.61</v>
      </c>
      <c r="J87" s="28">
        <v>111912.65000000001</v>
      </c>
    </row>
    <row r="88" spans="1:10" x14ac:dyDescent="0.25">
      <c r="A88" s="28">
        <v>2015</v>
      </c>
      <c r="B88" s="28" t="s">
        <v>47</v>
      </c>
      <c r="C88" s="28" t="s">
        <v>103</v>
      </c>
      <c r="D88" s="28" t="s">
        <v>1021</v>
      </c>
      <c r="E88" s="28" t="s">
        <v>1022</v>
      </c>
      <c r="F88" s="28" t="s">
        <v>1023</v>
      </c>
      <c r="G88" s="28" t="s">
        <v>47</v>
      </c>
      <c r="H88" s="28">
        <v>254.51</v>
      </c>
      <c r="J88" s="28">
        <v>92896.15</v>
      </c>
    </row>
    <row r="89" spans="1:10" x14ac:dyDescent="0.25">
      <c r="A89" s="28">
        <v>2015</v>
      </c>
      <c r="B89" s="28" t="s">
        <v>47</v>
      </c>
      <c r="C89" s="28" t="s">
        <v>124</v>
      </c>
      <c r="D89" s="28" t="s">
        <v>1024</v>
      </c>
      <c r="E89" s="28" t="s">
        <v>1025</v>
      </c>
      <c r="F89" s="28" t="s">
        <v>1026</v>
      </c>
      <c r="G89" s="28" t="s">
        <v>47</v>
      </c>
      <c r="H89" s="28">
        <v>328.08</v>
      </c>
      <c r="J89" s="28">
        <v>119749.2</v>
      </c>
    </row>
    <row r="90" spans="1:10" x14ac:dyDescent="0.25">
      <c r="A90" s="28">
        <v>2015</v>
      </c>
      <c r="B90" s="28" t="s">
        <v>47</v>
      </c>
      <c r="C90" s="28" t="s">
        <v>190</v>
      </c>
      <c r="D90" s="28" t="s">
        <v>1039</v>
      </c>
      <c r="E90" s="28" t="s">
        <v>1040</v>
      </c>
      <c r="F90" s="28" t="s">
        <v>1041</v>
      </c>
      <c r="G90" s="28" t="s">
        <v>47</v>
      </c>
      <c r="H90" s="28">
        <v>149.63999999999999</v>
      </c>
      <c r="J90" s="28">
        <v>54618.6</v>
      </c>
    </row>
    <row r="91" spans="1:10" x14ac:dyDescent="0.25">
      <c r="A91" s="28">
        <v>2015</v>
      </c>
      <c r="B91" s="28" t="s">
        <v>47</v>
      </c>
      <c r="C91" s="28" t="s">
        <v>264</v>
      </c>
      <c r="D91" s="28" t="s">
        <v>1042</v>
      </c>
      <c r="E91" s="28" t="s">
        <v>1043</v>
      </c>
      <c r="F91" s="28" t="s">
        <v>1044</v>
      </c>
      <c r="G91" s="28" t="s">
        <v>47</v>
      </c>
      <c r="H91" s="28">
        <v>199.66</v>
      </c>
      <c r="J91" s="28">
        <v>72875.899999999994</v>
      </c>
    </row>
    <row r="92" spans="1:10" x14ac:dyDescent="0.25">
      <c r="A92" s="28">
        <v>2015</v>
      </c>
      <c r="B92" s="28" t="s">
        <v>47</v>
      </c>
      <c r="C92" s="28" t="s">
        <v>376</v>
      </c>
      <c r="D92" s="28" t="s">
        <v>1045</v>
      </c>
      <c r="E92" s="28" t="s">
        <v>1046</v>
      </c>
      <c r="F92" s="28" t="s">
        <v>1047</v>
      </c>
      <c r="G92" s="28" t="s">
        <v>47</v>
      </c>
      <c r="H92" s="28">
        <v>171.09</v>
      </c>
      <c r="J92" s="28">
        <v>62447.85</v>
      </c>
    </row>
    <row r="93" spans="1:10" x14ac:dyDescent="0.25">
      <c r="A93" s="28">
        <v>2015</v>
      </c>
      <c r="B93" s="28" t="s">
        <v>47</v>
      </c>
      <c r="C93" s="28" t="s">
        <v>336</v>
      </c>
      <c r="D93" s="28" t="s">
        <v>1048</v>
      </c>
      <c r="E93" s="28" t="s">
        <v>1049</v>
      </c>
      <c r="F93" s="28" t="s">
        <v>1050</v>
      </c>
      <c r="G93" s="28" t="s">
        <v>47</v>
      </c>
      <c r="H93" s="28">
        <v>221.12</v>
      </c>
      <c r="J93" s="28">
        <v>80708.800000000003</v>
      </c>
    </row>
    <row r="94" spans="1:10" x14ac:dyDescent="0.25">
      <c r="A94" s="28">
        <v>2015</v>
      </c>
      <c r="B94" s="28" t="s">
        <v>47</v>
      </c>
      <c r="C94" s="28" t="s">
        <v>113</v>
      </c>
      <c r="D94" s="28" t="s">
        <v>1057</v>
      </c>
      <c r="E94" s="28" t="s">
        <v>1058</v>
      </c>
      <c r="F94" s="28" t="s">
        <v>1059</v>
      </c>
      <c r="G94" s="28" t="s">
        <v>47</v>
      </c>
      <c r="H94" s="28">
        <v>68.62</v>
      </c>
      <c r="J94" s="28">
        <v>25046.300000000003</v>
      </c>
    </row>
    <row r="95" spans="1:10" x14ac:dyDescent="0.25">
      <c r="A95" s="28">
        <v>2015</v>
      </c>
      <c r="B95" s="28" t="s">
        <v>47</v>
      </c>
      <c r="C95" s="28" t="s">
        <v>344</v>
      </c>
      <c r="D95" s="28" t="s">
        <v>1060</v>
      </c>
      <c r="E95" s="28" t="s">
        <v>1061</v>
      </c>
      <c r="F95" s="28" t="s">
        <v>1062</v>
      </c>
      <c r="G95" s="28" t="s">
        <v>47</v>
      </c>
      <c r="H95" s="28">
        <v>110.31</v>
      </c>
      <c r="J95" s="28">
        <v>40263.15</v>
      </c>
    </row>
    <row r="96" spans="1:10" x14ac:dyDescent="0.25">
      <c r="A96" s="28">
        <v>2015</v>
      </c>
      <c r="B96" s="28" t="s">
        <v>47</v>
      </c>
      <c r="C96" s="28" t="s">
        <v>200</v>
      </c>
      <c r="D96" s="28" t="s">
        <v>1069</v>
      </c>
      <c r="E96" s="28" t="s">
        <v>1070</v>
      </c>
      <c r="F96" s="28" t="s">
        <v>1071</v>
      </c>
      <c r="G96" s="28" t="s">
        <v>47</v>
      </c>
      <c r="H96" s="28">
        <v>101.75</v>
      </c>
      <c r="J96" s="28">
        <v>37138.75</v>
      </c>
    </row>
    <row r="97" spans="1:10" x14ac:dyDescent="0.25">
      <c r="A97" s="28">
        <v>2015</v>
      </c>
      <c r="B97" s="28" t="s">
        <v>47</v>
      </c>
      <c r="C97" s="28" t="s">
        <v>248</v>
      </c>
      <c r="D97" s="28" t="s">
        <v>1072</v>
      </c>
      <c r="E97" s="28" t="s">
        <v>1073</v>
      </c>
      <c r="F97" s="28" t="s">
        <v>1074</v>
      </c>
      <c r="G97" s="28" t="s">
        <v>47</v>
      </c>
      <c r="H97" s="28">
        <v>136.49</v>
      </c>
      <c r="J97" s="28">
        <v>49818.850000000006</v>
      </c>
    </row>
    <row r="98" spans="1:10" x14ac:dyDescent="0.25">
      <c r="A98" s="28">
        <v>2015</v>
      </c>
      <c r="B98" s="28" t="s">
        <v>47</v>
      </c>
      <c r="C98" s="28" t="s">
        <v>224</v>
      </c>
      <c r="D98" s="28" t="s">
        <v>1087</v>
      </c>
      <c r="E98" s="28" t="s">
        <v>1088</v>
      </c>
      <c r="F98" s="28" t="s">
        <v>1089</v>
      </c>
      <c r="G98" s="28" t="s">
        <v>47</v>
      </c>
      <c r="H98" s="28">
        <v>124.46</v>
      </c>
      <c r="J98" s="28">
        <v>45427.899999999994</v>
      </c>
    </row>
    <row r="99" spans="1:10" x14ac:dyDescent="0.25">
      <c r="A99" s="28">
        <v>2015</v>
      </c>
      <c r="B99" s="28" t="s">
        <v>47</v>
      </c>
      <c r="C99" s="28" t="s">
        <v>99</v>
      </c>
      <c r="D99" s="28" t="s">
        <v>1090</v>
      </c>
      <c r="E99" s="28" t="s">
        <v>1091</v>
      </c>
      <c r="F99" s="28" t="s">
        <v>1092</v>
      </c>
      <c r="G99" s="28" t="s">
        <v>47</v>
      </c>
      <c r="H99" s="28">
        <v>159.19999999999999</v>
      </c>
      <c r="J99" s="28">
        <v>58107.999999999993</v>
      </c>
    </row>
    <row r="100" spans="1:10" x14ac:dyDescent="0.25">
      <c r="A100" s="28">
        <v>2015</v>
      </c>
      <c r="B100" s="28" t="s">
        <v>47</v>
      </c>
      <c r="C100" s="28" t="s">
        <v>286</v>
      </c>
      <c r="D100" s="28" t="s">
        <v>1093</v>
      </c>
      <c r="E100" s="28" t="s">
        <v>1094</v>
      </c>
      <c r="F100" s="28" t="s">
        <v>1095</v>
      </c>
      <c r="G100" s="28" t="s">
        <v>47</v>
      </c>
      <c r="H100" s="28">
        <v>137.33000000000001</v>
      </c>
      <c r="J100" s="28">
        <v>50125.450000000004</v>
      </c>
    </row>
    <row r="101" spans="1:10" x14ac:dyDescent="0.25">
      <c r="A101" s="28">
        <v>2015</v>
      </c>
      <c r="B101" s="28" t="s">
        <v>47</v>
      </c>
      <c r="C101" s="28" t="s">
        <v>292</v>
      </c>
      <c r="D101" s="28" t="s">
        <v>1096</v>
      </c>
      <c r="E101" s="28" t="s">
        <v>1097</v>
      </c>
      <c r="F101" s="28" t="s">
        <v>1098</v>
      </c>
      <c r="G101" s="28" t="s">
        <v>47</v>
      </c>
      <c r="H101" s="28">
        <v>172.08</v>
      </c>
      <c r="J101" s="28">
        <v>62809.200000000004</v>
      </c>
    </row>
    <row r="102" spans="1:10" x14ac:dyDescent="0.25">
      <c r="A102" s="28">
        <v>2015</v>
      </c>
      <c r="B102" s="28" t="s">
        <v>47</v>
      </c>
      <c r="C102" s="28" t="s">
        <v>304</v>
      </c>
      <c r="D102" s="28" t="s">
        <v>1111</v>
      </c>
      <c r="E102" s="28" t="s">
        <v>1112</v>
      </c>
      <c r="F102" s="28" t="s">
        <v>1113</v>
      </c>
      <c r="G102" s="28" t="s">
        <v>47</v>
      </c>
      <c r="H102" s="28">
        <v>157.88</v>
      </c>
      <c r="J102" s="28">
        <v>57626.2</v>
      </c>
    </row>
    <row r="103" spans="1:10" x14ac:dyDescent="0.25">
      <c r="A103" s="28">
        <v>2015</v>
      </c>
      <c r="B103" s="28" t="s">
        <v>47</v>
      </c>
      <c r="C103" s="28" t="s">
        <v>203</v>
      </c>
      <c r="D103" s="28" t="s">
        <v>1114</v>
      </c>
      <c r="E103" s="28" t="s">
        <v>1115</v>
      </c>
      <c r="F103" s="28" t="s">
        <v>1116</v>
      </c>
      <c r="G103" s="28" t="s">
        <v>47</v>
      </c>
      <c r="H103" s="28">
        <v>204.76</v>
      </c>
      <c r="J103" s="28">
        <v>74737.399999999994</v>
      </c>
    </row>
    <row r="104" spans="1:10" x14ac:dyDescent="0.25">
      <c r="A104" s="28">
        <v>2015</v>
      </c>
      <c r="B104" s="28" t="s">
        <v>47</v>
      </c>
      <c r="C104" s="28" t="s">
        <v>58</v>
      </c>
      <c r="D104" s="28" t="s">
        <v>1117</v>
      </c>
      <c r="E104" s="28" t="s">
        <v>1118</v>
      </c>
      <c r="F104" s="28" t="s">
        <v>1119</v>
      </c>
      <c r="G104" s="28" t="s">
        <v>47</v>
      </c>
      <c r="H104" s="28">
        <v>174.32</v>
      </c>
      <c r="J104" s="28">
        <v>63626.799999999996</v>
      </c>
    </row>
    <row r="105" spans="1:10" x14ac:dyDescent="0.25">
      <c r="A105" s="28">
        <v>2015</v>
      </c>
      <c r="B105" s="28" t="s">
        <v>47</v>
      </c>
      <c r="C105" s="28" t="s">
        <v>138</v>
      </c>
      <c r="D105" s="28" t="s">
        <v>1120</v>
      </c>
      <c r="E105" s="28" t="s">
        <v>1121</v>
      </c>
      <c r="F105" s="28" t="s">
        <v>1122</v>
      </c>
      <c r="G105" s="28" t="s">
        <v>47</v>
      </c>
      <c r="H105" s="28">
        <v>221.2</v>
      </c>
      <c r="J105" s="28">
        <v>80738</v>
      </c>
    </row>
    <row r="106" spans="1:10" x14ac:dyDescent="0.25">
      <c r="A106" s="28">
        <v>2015</v>
      </c>
      <c r="B106" s="28" t="s">
        <v>47</v>
      </c>
      <c r="C106" s="28" t="s">
        <v>285</v>
      </c>
      <c r="D106" s="28" t="s">
        <v>1135</v>
      </c>
      <c r="E106" s="28" t="s">
        <v>1136</v>
      </c>
      <c r="F106" s="28" t="s">
        <v>1137</v>
      </c>
      <c r="G106" s="28" t="s">
        <v>47</v>
      </c>
      <c r="H106" s="28">
        <v>173.58</v>
      </c>
      <c r="J106" s="28">
        <v>63356.700000000004</v>
      </c>
    </row>
    <row r="107" spans="1:10" x14ac:dyDescent="0.25">
      <c r="A107" s="28">
        <v>2015</v>
      </c>
      <c r="B107" s="28" t="s">
        <v>47</v>
      </c>
      <c r="C107" s="28" t="s">
        <v>356</v>
      </c>
      <c r="D107" s="28" t="s">
        <v>1138</v>
      </c>
      <c r="E107" s="28" t="s">
        <v>1139</v>
      </c>
      <c r="F107" s="28" t="s">
        <v>1140</v>
      </c>
      <c r="G107" s="28" t="s">
        <v>47</v>
      </c>
      <c r="H107" s="28">
        <v>220.46</v>
      </c>
      <c r="J107" s="28">
        <v>80467.900000000009</v>
      </c>
    </row>
    <row r="108" spans="1:10" x14ac:dyDescent="0.25">
      <c r="A108" s="28">
        <v>2015</v>
      </c>
      <c r="B108" s="28" t="s">
        <v>47</v>
      </c>
      <c r="C108" s="28" t="s">
        <v>258</v>
      </c>
      <c r="D108" s="28" t="s">
        <v>1141</v>
      </c>
      <c r="E108" s="28" t="s">
        <v>1142</v>
      </c>
      <c r="F108" s="28" t="s">
        <v>1143</v>
      </c>
      <c r="G108" s="28" t="s">
        <v>47</v>
      </c>
      <c r="H108" s="28">
        <v>193.99</v>
      </c>
      <c r="J108" s="28">
        <v>70806.350000000006</v>
      </c>
    </row>
    <row r="109" spans="1:10" x14ac:dyDescent="0.25">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B109"/>
  <sheetViews>
    <sheetView workbookViewId="0">
      <selection sqref="A1:B109"/>
    </sheetView>
  </sheetViews>
  <sheetFormatPr defaultRowHeight="15" x14ac:dyDescent="0.25"/>
  <cols>
    <col min="1" max="1" width="8" bestFit="1" customWidth="1"/>
  </cols>
  <sheetData>
    <row r="1" spans="1:2" x14ac:dyDescent="0.25">
      <c r="A1" s="28" t="s">
        <v>1443</v>
      </c>
      <c r="B1" s="28">
        <v>27.02</v>
      </c>
    </row>
    <row r="2" spans="1:2" x14ac:dyDescent="0.25">
      <c r="A2" s="28" t="s">
        <v>1433</v>
      </c>
      <c r="B2" s="28">
        <v>117.08</v>
      </c>
    </row>
    <row r="3" spans="1:2" x14ac:dyDescent="0.25">
      <c r="A3" s="28" t="s">
        <v>1434</v>
      </c>
      <c r="B3" s="28">
        <v>117.08</v>
      </c>
    </row>
    <row r="4" spans="1:2" x14ac:dyDescent="0.25">
      <c r="A4" s="28" t="s">
        <v>1435</v>
      </c>
      <c r="B4" s="28">
        <v>117.08</v>
      </c>
    </row>
    <row r="5" spans="1:2" x14ac:dyDescent="0.25">
      <c r="A5" s="28" t="s">
        <v>1436</v>
      </c>
      <c r="B5" s="28">
        <v>117.08</v>
      </c>
    </row>
    <row r="6" spans="1:2" x14ac:dyDescent="0.25">
      <c r="A6" s="28" t="s">
        <v>1437</v>
      </c>
      <c r="B6" s="28">
        <v>117.08</v>
      </c>
    </row>
    <row r="7" spans="1:2" x14ac:dyDescent="0.25">
      <c r="A7" s="28" t="s">
        <v>1438</v>
      </c>
      <c r="B7" s="28">
        <v>62.22</v>
      </c>
    </row>
    <row r="8" spans="1:2" x14ac:dyDescent="0.25">
      <c r="A8" s="28" t="s">
        <v>1439</v>
      </c>
      <c r="B8" s="28">
        <v>122.39</v>
      </c>
    </row>
    <row r="9" spans="1:2" x14ac:dyDescent="0.25">
      <c r="A9" s="28" t="s">
        <v>1440</v>
      </c>
      <c r="B9" s="28">
        <v>155.15</v>
      </c>
    </row>
    <row r="10" spans="1:2" x14ac:dyDescent="0.25">
      <c r="A10" s="28" t="s">
        <v>1441</v>
      </c>
      <c r="B10" s="28">
        <v>139.34</v>
      </c>
    </row>
    <row r="11" spans="1:2" x14ac:dyDescent="0.25">
      <c r="A11" s="28" t="s">
        <v>1442</v>
      </c>
      <c r="B11" s="28">
        <v>106.38</v>
      </c>
    </row>
    <row r="12" spans="1:2" x14ac:dyDescent="0.25">
      <c r="A12" s="28" t="s">
        <v>1444</v>
      </c>
      <c r="B12" s="28">
        <v>11.06</v>
      </c>
    </row>
    <row r="13" spans="1:2" x14ac:dyDescent="0.25">
      <c r="A13" s="28" t="s">
        <v>1445</v>
      </c>
      <c r="B13" s="28">
        <v>36.340000000000003</v>
      </c>
    </row>
    <row r="14" spans="1:2" x14ac:dyDescent="0.25">
      <c r="A14" s="28" t="s">
        <v>1446</v>
      </c>
      <c r="B14" s="28">
        <v>67.16</v>
      </c>
    </row>
    <row r="15" spans="1:2" x14ac:dyDescent="0.25">
      <c r="A15" s="28" t="s">
        <v>1447</v>
      </c>
      <c r="B15" s="28">
        <v>67.16</v>
      </c>
    </row>
    <row r="16" spans="1:2" x14ac:dyDescent="0.25">
      <c r="A16" s="28" t="s">
        <v>1448</v>
      </c>
      <c r="B16" s="28">
        <v>67.16</v>
      </c>
    </row>
    <row r="17" spans="1:2" x14ac:dyDescent="0.25">
      <c r="A17" s="28" t="s">
        <v>1449</v>
      </c>
      <c r="B17" s="28">
        <v>6.98</v>
      </c>
    </row>
    <row r="18" spans="1:2" x14ac:dyDescent="0.25">
      <c r="A18" s="28" t="s">
        <v>1450</v>
      </c>
      <c r="B18" s="28">
        <v>38.700000000000003</v>
      </c>
    </row>
    <row r="19" spans="1:2" x14ac:dyDescent="0.25">
      <c r="A19" s="28" t="s">
        <v>1451</v>
      </c>
      <c r="B19" s="28">
        <v>48.99</v>
      </c>
    </row>
    <row r="20" spans="1:2" x14ac:dyDescent="0.25">
      <c r="A20" s="28" t="s">
        <v>1452</v>
      </c>
      <c r="B20" s="28">
        <v>75.38</v>
      </c>
    </row>
    <row r="21" spans="1:2" x14ac:dyDescent="0.25">
      <c r="A21" s="28" t="s">
        <v>1453</v>
      </c>
      <c r="B21" s="28">
        <v>48.72</v>
      </c>
    </row>
    <row r="22" spans="1:2" x14ac:dyDescent="0.25">
      <c r="A22" s="28" t="s">
        <v>1454</v>
      </c>
      <c r="B22" s="28">
        <v>63.7</v>
      </c>
    </row>
    <row r="23" spans="1:2" x14ac:dyDescent="0.25">
      <c r="A23" s="28" t="s">
        <v>1455</v>
      </c>
      <c r="B23" s="28">
        <v>102.76</v>
      </c>
    </row>
    <row r="24" spans="1:2" x14ac:dyDescent="0.25">
      <c r="A24" s="28" t="s">
        <v>1456</v>
      </c>
      <c r="B24" s="28">
        <v>121.39</v>
      </c>
    </row>
    <row r="25" spans="1:2" x14ac:dyDescent="0.25">
      <c r="A25" s="28" t="s">
        <v>1457</v>
      </c>
      <c r="B25" s="28">
        <v>102.76</v>
      </c>
    </row>
    <row r="26" spans="1:2" x14ac:dyDescent="0.25">
      <c r="A26" s="28" t="s">
        <v>1458</v>
      </c>
      <c r="B26" s="28">
        <v>84.23</v>
      </c>
    </row>
    <row r="27" spans="1:2" x14ac:dyDescent="0.25">
      <c r="A27" s="28" t="s">
        <v>1459</v>
      </c>
      <c r="B27" s="28">
        <v>81.86</v>
      </c>
    </row>
    <row r="28" spans="1:2" x14ac:dyDescent="0.25">
      <c r="A28" s="28" t="s">
        <v>1460</v>
      </c>
      <c r="B28" s="28">
        <v>121.39</v>
      </c>
    </row>
    <row r="29" spans="1:2" x14ac:dyDescent="0.25">
      <c r="A29" s="28" t="s">
        <v>1461</v>
      </c>
      <c r="B29" s="28">
        <v>147.47</v>
      </c>
    </row>
    <row r="30" spans="1:2" x14ac:dyDescent="0.25">
      <c r="A30" s="28" t="s">
        <v>1462</v>
      </c>
      <c r="B30" s="28">
        <v>49.41</v>
      </c>
    </row>
    <row r="31" spans="1:2" x14ac:dyDescent="0.25">
      <c r="A31" s="28" t="s">
        <v>1463</v>
      </c>
      <c r="B31" s="28">
        <v>55.9</v>
      </c>
    </row>
    <row r="32" spans="1:2" x14ac:dyDescent="0.25">
      <c r="A32" s="28" t="s">
        <v>1464</v>
      </c>
      <c r="B32" s="28">
        <v>59.87</v>
      </c>
    </row>
    <row r="33" spans="1:2" x14ac:dyDescent="0.25">
      <c r="A33" s="28" t="s">
        <v>1465</v>
      </c>
      <c r="B33" s="28">
        <v>54.65</v>
      </c>
    </row>
    <row r="34" spans="1:2" x14ac:dyDescent="0.25">
      <c r="A34" s="28" t="s">
        <v>1466</v>
      </c>
      <c r="B34" s="28">
        <v>65.83</v>
      </c>
    </row>
    <row r="35" spans="1:2" x14ac:dyDescent="0.25">
      <c r="A35" s="28" t="s">
        <v>1467</v>
      </c>
      <c r="B35" s="28">
        <v>82.47</v>
      </c>
    </row>
    <row r="36" spans="1:2" x14ac:dyDescent="0.25">
      <c r="A36" s="28" t="s">
        <v>1468</v>
      </c>
      <c r="B36" s="28">
        <v>72.37</v>
      </c>
    </row>
    <row r="37" spans="1:2" x14ac:dyDescent="0.25">
      <c r="A37" s="28" t="s">
        <v>1469</v>
      </c>
      <c r="B37" s="28">
        <v>78.94</v>
      </c>
    </row>
    <row r="38" spans="1:2" x14ac:dyDescent="0.25">
      <c r="A38" s="28" t="s">
        <v>1470</v>
      </c>
      <c r="B38" s="28">
        <v>82.96</v>
      </c>
    </row>
    <row r="39" spans="1:2" x14ac:dyDescent="0.25">
      <c r="A39" s="28" t="s">
        <v>1471</v>
      </c>
      <c r="B39" s="28">
        <v>50.4</v>
      </c>
    </row>
    <row r="40" spans="1:2" x14ac:dyDescent="0.25">
      <c r="A40" s="28" t="s">
        <v>1472</v>
      </c>
      <c r="B40" s="28">
        <v>61.35</v>
      </c>
    </row>
    <row r="41" spans="1:2" x14ac:dyDescent="0.25">
      <c r="A41" s="28" t="s">
        <v>1473</v>
      </c>
      <c r="B41" s="28">
        <v>68.680000000000007</v>
      </c>
    </row>
    <row r="42" spans="1:2" x14ac:dyDescent="0.25">
      <c r="A42" s="28" t="s">
        <v>1474</v>
      </c>
      <c r="B42" s="28">
        <v>59.67</v>
      </c>
    </row>
    <row r="43" spans="1:2" x14ac:dyDescent="0.25">
      <c r="A43" s="28" t="s">
        <v>1475</v>
      </c>
      <c r="B43" s="28">
        <v>75.31</v>
      </c>
    </row>
    <row r="44" spans="1:2" x14ac:dyDescent="0.25">
      <c r="A44" s="28" t="s">
        <v>1476</v>
      </c>
      <c r="B44" s="28">
        <v>95.32</v>
      </c>
    </row>
    <row r="45" spans="1:2" x14ac:dyDescent="0.25">
      <c r="A45" s="28" t="s">
        <v>1477</v>
      </c>
      <c r="B45" s="28">
        <v>38.520000000000003</v>
      </c>
    </row>
    <row r="46" spans="1:2" x14ac:dyDescent="0.25">
      <c r="A46" s="28" t="s">
        <v>1478</v>
      </c>
      <c r="B46" s="28">
        <v>43.91</v>
      </c>
    </row>
    <row r="47" spans="1:2" x14ac:dyDescent="0.25">
      <c r="A47" s="28" t="s">
        <v>1479</v>
      </c>
      <c r="B47" s="28">
        <v>47.95</v>
      </c>
    </row>
    <row r="48" spans="1:2" x14ac:dyDescent="0.25">
      <c r="A48" s="28" t="s">
        <v>1480</v>
      </c>
      <c r="B48" s="28">
        <v>47.8</v>
      </c>
    </row>
    <row r="49" spans="1:2" x14ac:dyDescent="0.25">
      <c r="A49" s="28" t="s">
        <v>1481</v>
      </c>
      <c r="B49" s="28">
        <v>57.88</v>
      </c>
    </row>
    <row r="50" spans="1:2" x14ac:dyDescent="0.25">
      <c r="A50" s="28" t="s">
        <v>1482</v>
      </c>
      <c r="B50" s="28">
        <v>74.59</v>
      </c>
    </row>
    <row r="51" spans="1:2" x14ac:dyDescent="0.25">
      <c r="A51" s="28" t="s">
        <v>1483</v>
      </c>
      <c r="B51" s="28">
        <v>128.36000000000001</v>
      </c>
    </row>
    <row r="52" spans="1:2" x14ac:dyDescent="0.25">
      <c r="A52" s="28" t="s">
        <v>1484</v>
      </c>
      <c r="B52" s="28">
        <v>8.24</v>
      </c>
    </row>
    <row r="53" spans="1:2" x14ac:dyDescent="0.25">
      <c r="A53" s="28" t="s">
        <v>1485</v>
      </c>
      <c r="B53" s="28">
        <v>19.899999999999999</v>
      </c>
    </row>
    <row r="54" spans="1:2" x14ac:dyDescent="0.25">
      <c r="A54" s="28" t="s">
        <v>1486</v>
      </c>
      <c r="B54" s="28">
        <v>19.899999999999999</v>
      </c>
    </row>
    <row r="55" spans="1:2" x14ac:dyDescent="0.25">
      <c r="A55" s="28" t="s">
        <v>1487</v>
      </c>
      <c r="B55" s="28">
        <v>27.6</v>
      </c>
    </row>
    <row r="56" spans="1:2" x14ac:dyDescent="0.25">
      <c r="A56" s="28" t="s">
        <v>1488</v>
      </c>
      <c r="B56" s="28">
        <v>37.770000000000003</v>
      </c>
    </row>
    <row r="57" spans="1:2" x14ac:dyDescent="0.25">
      <c r="A57" s="28" t="s">
        <v>1489</v>
      </c>
      <c r="B57" s="28">
        <v>63.84</v>
      </c>
    </row>
    <row r="58" spans="1:2" x14ac:dyDescent="0.25">
      <c r="A58" s="28" t="s">
        <v>1490</v>
      </c>
      <c r="B58" s="28">
        <v>6.66</v>
      </c>
    </row>
    <row r="59" spans="1:2" x14ac:dyDescent="0.25">
      <c r="A59" s="28" t="s">
        <v>1491</v>
      </c>
      <c r="B59" s="28">
        <v>1.08</v>
      </c>
    </row>
    <row r="60" spans="1:2" x14ac:dyDescent="0.25">
      <c r="A60" s="28" t="s">
        <v>1492</v>
      </c>
      <c r="B60" s="28">
        <v>33.47</v>
      </c>
    </row>
    <row r="61" spans="1:2" x14ac:dyDescent="0.25">
      <c r="A61" s="28" t="s">
        <v>1493</v>
      </c>
      <c r="B61" s="28">
        <v>39.869999999999997</v>
      </c>
    </row>
    <row r="62" spans="1:2" x14ac:dyDescent="0.25">
      <c r="A62" s="28" t="s">
        <v>1494</v>
      </c>
      <c r="B62" s="28">
        <v>43.78</v>
      </c>
    </row>
    <row r="63" spans="1:2" x14ac:dyDescent="0.25">
      <c r="A63" s="28" t="s">
        <v>1495</v>
      </c>
      <c r="B63" s="28">
        <v>10.77</v>
      </c>
    </row>
    <row r="64" spans="1:2" x14ac:dyDescent="0.25">
      <c r="A64" s="28" t="s">
        <v>1496</v>
      </c>
      <c r="B64" s="28">
        <v>1.43</v>
      </c>
    </row>
    <row r="65" spans="1:2" x14ac:dyDescent="0.25">
      <c r="A65" s="28" t="s">
        <v>1497</v>
      </c>
      <c r="B65" s="28">
        <v>38.409999999999997</v>
      </c>
    </row>
    <row r="66" spans="1:2" x14ac:dyDescent="0.25">
      <c r="A66" s="28" t="s">
        <v>1498</v>
      </c>
      <c r="B66" s="28">
        <v>49.23</v>
      </c>
    </row>
    <row r="67" spans="1:2" x14ac:dyDescent="0.25">
      <c r="A67" s="28" t="s">
        <v>1499</v>
      </c>
      <c r="B67" s="28">
        <v>56.48</v>
      </c>
    </row>
    <row r="68" spans="1:2" x14ac:dyDescent="0.25">
      <c r="A68" s="28" t="s">
        <v>1500</v>
      </c>
      <c r="B68" s="28">
        <v>7.01</v>
      </c>
    </row>
    <row r="69" spans="1:2" x14ac:dyDescent="0.25">
      <c r="A69" s="28" t="s">
        <v>1501</v>
      </c>
      <c r="B69" s="28">
        <v>1.44</v>
      </c>
    </row>
    <row r="70" spans="1:2" x14ac:dyDescent="0.25">
      <c r="A70" s="28" t="s">
        <v>1502</v>
      </c>
      <c r="B70" s="28">
        <v>26.69</v>
      </c>
    </row>
    <row r="71" spans="1:2" x14ac:dyDescent="0.25">
      <c r="A71" s="28" t="s">
        <v>1503</v>
      </c>
      <c r="B71" s="28">
        <v>32.01</v>
      </c>
    </row>
    <row r="72" spans="1:2" x14ac:dyDescent="0.25">
      <c r="A72" s="28" t="s">
        <v>1504</v>
      </c>
      <c r="B72" s="28">
        <v>36.03</v>
      </c>
    </row>
    <row r="73" spans="1:2" x14ac:dyDescent="0.25">
      <c r="A73" s="28" t="s">
        <v>1505</v>
      </c>
      <c r="B73" s="28">
        <v>20.83</v>
      </c>
    </row>
    <row r="74" spans="1:2" x14ac:dyDescent="0.25">
      <c r="A74" s="28" t="s">
        <v>1506</v>
      </c>
      <c r="B74" s="28">
        <v>25.51</v>
      </c>
    </row>
    <row r="75" spans="1:2" x14ac:dyDescent="0.25">
      <c r="A75" s="28" t="s">
        <v>1507</v>
      </c>
      <c r="B75" s="28">
        <v>64.260000000000005</v>
      </c>
    </row>
    <row r="76" spans="1:2" x14ac:dyDescent="0.25">
      <c r="A76" s="28" t="s">
        <v>1508</v>
      </c>
      <c r="B76" s="28">
        <v>38.19</v>
      </c>
    </row>
    <row r="77" spans="1:2" x14ac:dyDescent="0.25">
      <c r="A77" s="28" t="s">
        <v>1509</v>
      </c>
      <c r="B77" s="28">
        <v>20.83</v>
      </c>
    </row>
    <row r="78" spans="1:2" x14ac:dyDescent="0.25">
      <c r="A78" s="28" t="s">
        <v>1510</v>
      </c>
      <c r="B78" s="28">
        <v>25.51</v>
      </c>
    </row>
    <row r="79" spans="1:2" x14ac:dyDescent="0.25">
      <c r="A79" s="28" t="s">
        <v>1511</v>
      </c>
      <c r="B79" s="28">
        <v>38.19</v>
      </c>
    </row>
    <row r="80" spans="1:2" x14ac:dyDescent="0.25">
      <c r="A80" s="28" t="s">
        <v>1512</v>
      </c>
      <c r="B80" s="28">
        <v>20.83</v>
      </c>
    </row>
    <row r="81" spans="1:2" x14ac:dyDescent="0.25">
      <c r="A81" s="28" t="s">
        <v>1513</v>
      </c>
      <c r="B81" s="28">
        <v>25.51</v>
      </c>
    </row>
    <row r="82" spans="1:2" x14ac:dyDescent="0.25">
      <c r="A82" s="28" t="s">
        <v>1514</v>
      </c>
      <c r="B82" s="28">
        <v>38.19</v>
      </c>
    </row>
    <row r="83" spans="1:2" x14ac:dyDescent="0.25">
      <c r="A83" s="28" t="s">
        <v>1515</v>
      </c>
      <c r="B83" s="28">
        <v>20.83</v>
      </c>
    </row>
    <row r="84" spans="1:2" x14ac:dyDescent="0.25">
      <c r="A84" s="28" t="s">
        <v>1516</v>
      </c>
      <c r="B84" s="28">
        <v>25.51</v>
      </c>
    </row>
    <row r="85" spans="1:2" x14ac:dyDescent="0.25">
      <c r="A85" s="28" t="s">
        <v>1517</v>
      </c>
      <c r="B85" s="28">
        <v>38.19</v>
      </c>
    </row>
    <row r="86" spans="1:2" x14ac:dyDescent="0.25">
      <c r="A86" s="28" t="s">
        <v>1518</v>
      </c>
      <c r="B86" s="28">
        <v>6.9</v>
      </c>
    </row>
    <row r="87" spans="1:2" x14ac:dyDescent="0.25">
      <c r="A87" s="28" t="s">
        <v>1519</v>
      </c>
      <c r="B87" s="28">
        <v>19.899999999999999</v>
      </c>
    </row>
    <row r="88" spans="1:2" x14ac:dyDescent="0.25">
      <c r="A88" s="28" t="s">
        <v>1520</v>
      </c>
      <c r="B88" s="28">
        <v>19.899999999999999</v>
      </c>
    </row>
    <row r="89" spans="1:2" x14ac:dyDescent="0.25">
      <c r="A89" s="28" t="s">
        <v>1521</v>
      </c>
      <c r="B89" s="28">
        <v>76.069999999999993</v>
      </c>
    </row>
    <row r="90" spans="1:2" x14ac:dyDescent="0.25">
      <c r="A90" s="28" t="s">
        <v>1522</v>
      </c>
      <c r="B90" s="28">
        <v>82.37</v>
      </c>
    </row>
    <row r="91" spans="1:2" x14ac:dyDescent="0.25">
      <c r="A91" s="28" t="s">
        <v>1523</v>
      </c>
      <c r="B91" s="28">
        <v>76.069999999999993</v>
      </c>
    </row>
    <row r="92" spans="1:2" x14ac:dyDescent="0.25">
      <c r="A92" s="28" t="s">
        <v>1524</v>
      </c>
      <c r="B92" s="28">
        <v>76.069999999999993</v>
      </c>
    </row>
    <row r="93" spans="1:2" x14ac:dyDescent="0.25">
      <c r="A93" s="28" t="s">
        <v>1525</v>
      </c>
      <c r="B93" s="28">
        <v>76.78</v>
      </c>
    </row>
    <row r="94" spans="1:2" x14ac:dyDescent="0.25">
      <c r="A94" s="28" t="s">
        <v>1526</v>
      </c>
      <c r="B94" s="28">
        <v>51.39</v>
      </c>
    </row>
    <row r="95" spans="1:2" x14ac:dyDescent="0.25">
      <c r="A95" s="28" t="s">
        <v>1527</v>
      </c>
      <c r="B95" s="28">
        <v>55.04</v>
      </c>
    </row>
    <row r="96" spans="1:2" x14ac:dyDescent="0.25">
      <c r="A96" s="28" t="s">
        <v>1528</v>
      </c>
      <c r="B96" s="28">
        <v>81.48</v>
      </c>
    </row>
    <row r="97" spans="1:2" x14ac:dyDescent="0.25">
      <c r="A97" s="28" t="s">
        <v>1529</v>
      </c>
      <c r="B97" s="28">
        <v>47.76</v>
      </c>
    </row>
    <row r="98" spans="1:2" x14ac:dyDescent="0.25">
      <c r="A98" s="28" t="s">
        <v>1530</v>
      </c>
      <c r="B98" s="28">
        <v>51.39</v>
      </c>
    </row>
    <row r="99" spans="1:2" x14ac:dyDescent="0.25">
      <c r="A99" s="28" t="s">
        <v>1531</v>
      </c>
      <c r="B99" s="28">
        <v>51.39</v>
      </c>
    </row>
    <row r="100" spans="1:2" x14ac:dyDescent="0.25">
      <c r="A100" s="28" t="s">
        <v>1532</v>
      </c>
      <c r="B100" s="28">
        <v>59.33</v>
      </c>
    </row>
    <row r="101" spans="1:2" x14ac:dyDescent="0.25">
      <c r="A101" s="28" t="s">
        <v>1533</v>
      </c>
      <c r="B101" s="28">
        <v>90.59</v>
      </c>
    </row>
    <row r="102" spans="1:2" x14ac:dyDescent="0.25">
      <c r="A102" s="28" t="s">
        <v>1534</v>
      </c>
      <c r="B102" s="28">
        <v>96.37</v>
      </c>
    </row>
    <row r="103" spans="1:2" x14ac:dyDescent="0.25">
      <c r="A103" s="28" t="s">
        <v>1535</v>
      </c>
      <c r="B103" s="28">
        <v>88.76</v>
      </c>
    </row>
    <row r="104" spans="1:2" x14ac:dyDescent="0.25">
      <c r="A104" s="28" t="s">
        <v>1536</v>
      </c>
      <c r="B104" s="28">
        <v>55.39</v>
      </c>
    </row>
    <row r="105" spans="1:2" x14ac:dyDescent="0.25">
      <c r="A105" s="28" t="s">
        <v>1537</v>
      </c>
      <c r="B105" s="28">
        <v>100.7</v>
      </c>
    </row>
    <row r="106" spans="1:2" x14ac:dyDescent="0.25">
      <c r="A106" s="28" t="s">
        <v>1538</v>
      </c>
      <c r="B106" s="28">
        <v>123.79</v>
      </c>
    </row>
    <row r="107" spans="1:2" x14ac:dyDescent="0.25">
      <c r="A107" s="28" t="s">
        <v>1539</v>
      </c>
      <c r="B107" s="28">
        <v>84.09</v>
      </c>
    </row>
    <row r="108" spans="1:2" x14ac:dyDescent="0.25">
      <c r="A108" s="28" t="s">
        <v>1540</v>
      </c>
      <c r="B108" s="28">
        <v>107.18</v>
      </c>
    </row>
    <row r="109" spans="1:2" x14ac:dyDescent="0.25">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3"/>
  <sheetViews>
    <sheetView workbookViewId="0">
      <selection activeCell="A2" sqref="A2:A3"/>
    </sheetView>
  </sheetViews>
  <sheetFormatPr defaultRowHeight="15" x14ac:dyDescent="0.25"/>
  <sheetData>
    <row r="1" spans="1:1" x14ac:dyDescent="0.25">
      <c r="A1" t="s">
        <v>1632</v>
      </c>
    </row>
    <row r="2" spans="1:1" x14ac:dyDescent="0.25">
      <c r="A2" t="s">
        <v>1278</v>
      </c>
    </row>
    <row r="3" spans="1:1" x14ac:dyDescent="0.2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E56"/>
  <sheetViews>
    <sheetView zoomScale="130" zoomScaleNormal="130" workbookViewId="0">
      <selection activeCell="A3" sqref="A3:A4"/>
    </sheetView>
  </sheetViews>
  <sheetFormatPr defaultColWidth="9.28515625" defaultRowHeight="15" x14ac:dyDescent="0.25"/>
  <cols>
    <col min="1" max="1" width="108.7109375" style="120" customWidth="1"/>
    <col min="2" max="5" width="12.7109375" style="120" customWidth="1"/>
    <col min="6" max="16384" width="9.28515625" style="120"/>
  </cols>
  <sheetData>
    <row r="1" spans="1:1" ht="16.5" x14ac:dyDescent="0.25">
      <c r="A1" s="367" t="s">
        <v>3421</v>
      </c>
    </row>
    <row r="2" spans="1:1" ht="45" x14ac:dyDescent="0.25">
      <c r="A2" s="368" t="s">
        <v>3422</v>
      </c>
    </row>
    <row r="3" spans="1:1" ht="30" x14ac:dyDescent="0.25">
      <c r="A3" s="368" t="s">
        <v>3423</v>
      </c>
    </row>
    <row r="4" spans="1:1" x14ac:dyDescent="0.25">
      <c r="A4" s="368" t="s">
        <v>3424</v>
      </c>
    </row>
    <row r="5" spans="1:1" x14ac:dyDescent="0.25">
      <c r="A5" s="368" t="s">
        <v>3425</v>
      </c>
    </row>
    <row r="6" spans="1:1" ht="30" x14ac:dyDescent="0.25">
      <c r="A6" s="368" t="s">
        <v>3426</v>
      </c>
    </row>
    <row r="7" spans="1:1" ht="30" x14ac:dyDescent="0.25">
      <c r="A7" s="368" t="s">
        <v>3427</v>
      </c>
    </row>
    <row r="8" spans="1:1" ht="30" x14ac:dyDescent="0.25">
      <c r="A8" s="368" t="s">
        <v>3428</v>
      </c>
    </row>
    <row r="9" spans="1:1" x14ac:dyDescent="0.25">
      <c r="A9" s="368" t="s">
        <v>3429</v>
      </c>
    </row>
    <row r="10" spans="1:1" ht="30" x14ac:dyDescent="0.25">
      <c r="A10" s="368" t="s">
        <v>3430</v>
      </c>
    </row>
    <row r="11" spans="1:1" ht="30" x14ac:dyDescent="0.25">
      <c r="A11" s="368" t="s">
        <v>3431</v>
      </c>
    </row>
    <row r="12" spans="1:1" x14ac:dyDescent="0.25">
      <c r="A12" s="368" t="s">
        <v>3432</v>
      </c>
    </row>
    <row r="13" spans="1:1" ht="30" x14ac:dyDescent="0.25">
      <c r="A13" s="368" t="s">
        <v>3433</v>
      </c>
    </row>
    <row r="14" spans="1:1" ht="30" x14ac:dyDescent="0.25">
      <c r="A14" s="368" t="s">
        <v>3434</v>
      </c>
    </row>
    <row r="15" spans="1:1" ht="30" x14ac:dyDescent="0.25">
      <c r="A15" s="368" t="s">
        <v>3435</v>
      </c>
    </row>
    <row r="16" spans="1:1" x14ac:dyDescent="0.25">
      <c r="A16" s="368" t="s">
        <v>3436</v>
      </c>
    </row>
    <row r="17" spans="1:1" x14ac:dyDescent="0.25">
      <c r="A17" s="368" t="s">
        <v>3437</v>
      </c>
    </row>
    <row r="18" spans="1:1" x14ac:dyDescent="0.25">
      <c r="A18" s="368" t="s">
        <v>3438</v>
      </c>
    </row>
    <row r="19" spans="1:1" ht="30" x14ac:dyDescent="0.25">
      <c r="A19" s="368" t="s">
        <v>3439</v>
      </c>
    </row>
    <row r="20" spans="1:1" x14ac:dyDescent="0.25">
      <c r="A20" s="368"/>
    </row>
    <row r="21" spans="1:1" ht="16.5" x14ac:dyDescent="0.25">
      <c r="A21" s="367" t="s">
        <v>3440</v>
      </c>
    </row>
    <row r="22" spans="1:1" ht="30" x14ac:dyDescent="0.25">
      <c r="A22" s="368" t="s">
        <v>3441</v>
      </c>
    </row>
    <row r="23" spans="1:1" x14ac:dyDescent="0.25">
      <c r="A23" s="369" t="s">
        <v>3442</v>
      </c>
    </row>
    <row r="24" spans="1:1" x14ac:dyDescent="0.25">
      <c r="A24" s="369" t="s">
        <v>3443</v>
      </c>
    </row>
    <row r="25" spans="1:1" x14ac:dyDescent="0.25">
      <c r="A25" s="369" t="s">
        <v>3444</v>
      </c>
    </row>
    <row r="26" spans="1:1" ht="30" x14ac:dyDescent="0.25">
      <c r="A26" s="368" t="s">
        <v>3445</v>
      </c>
    </row>
    <row r="27" spans="1:1" x14ac:dyDescent="0.25">
      <c r="A27" s="369" t="s">
        <v>3446</v>
      </c>
    </row>
    <row r="28" spans="1:1" ht="30" x14ac:dyDescent="0.25">
      <c r="A28" s="369" t="s">
        <v>3447</v>
      </c>
    </row>
    <row r="29" spans="1:1" ht="45" x14ac:dyDescent="0.25">
      <c r="A29" s="369" t="s">
        <v>3448</v>
      </c>
    </row>
    <row r="30" spans="1:1" ht="45" x14ac:dyDescent="0.25">
      <c r="A30" s="368" t="s">
        <v>3449</v>
      </c>
    </row>
    <row r="31" spans="1:1" ht="30" x14ac:dyDescent="0.25">
      <c r="A31" s="369" t="s">
        <v>3450</v>
      </c>
    </row>
    <row r="32" spans="1:1" ht="30" x14ac:dyDescent="0.25">
      <c r="A32" s="369" t="s">
        <v>3451</v>
      </c>
    </row>
    <row r="33" spans="1:5" ht="45" x14ac:dyDescent="0.25">
      <c r="A33" s="369" t="s">
        <v>3452</v>
      </c>
    </row>
    <row r="34" spans="1:5" ht="30" x14ac:dyDescent="0.25">
      <c r="A34" s="368" t="s">
        <v>3453</v>
      </c>
    </row>
    <row r="35" spans="1:5" ht="30" x14ac:dyDescent="0.25">
      <c r="A35" s="368" t="s">
        <v>3454</v>
      </c>
    </row>
    <row r="36" spans="1:5" ht="30.75" x14ac:dyDescent="0.25">
      <c r="A36" s="370" t="s">
        <v>3455</v>
      </c>
    </row>
    <row r="37" spans="1:5" ht="30" x14ac:dyDescent="0.25">
      <c r="A37" s="368" t="s">
        <v>3521</v>
      </c>
    </row>
    <row r="38" spans="1:5" ht="45" x14ac:dyDescent="0.25">
      <c r="A38" s="368" t="s">
        <v>3456</v>
      </c>
    </row>
    <row r="41" spans="1:5" ht="17.25" thickBot="1" x14ac:dyDescent="0.3">
      <c r="A41" s="367" t="s">
        <v>3457</v>
      </c>
    </row>
    <row r="42" spans="1:5" ht="39" thickBot="1" x14ac:dyDescent="0.3">
      <c r="A42" s="371" t="s">
        <v>3458</v>
      </c>
      <c r="B42" s="371" t="s">
        <v>3459</v>
      </c>
      <c r="C42" s="371" t="s">
        <v>3460</v>
      </c>
      <c r="D42" s="371" t="s">
        <v>3461</v>
      </c>
      <c r="E42" s="371" t="s">
        <v>3462</v>
      </c>
    </row>
    <row r="43" spans="1:5" ht="39" thickBot="1" x14ac:dyDescent="0.3">
      <c r="A43" s="372" t="s">
        <v>3463</v>
      </c>
      <c r="B43" s="372" t="s">
        <v>3464</v>
      </c>
      <c r="C43" s="372" t="s">
        <v>3464</v>
      </c>
      <c r="D43" s="372" t="s">
        <v>3465</v>
      </c>
      <c r="E43" s="372" t="s">
        <v>3466</v>
      </c>
    </row>
    <row r="44" spans="1:5" ht="39" thickBot="1" x14ac:dyDescent="0.3">
      <c r="A44" s="372" t="s">
        <v>3463</v>
      </c>
      <c r="B44" s="372" t="s">
        <v>3464</v>
      </c>
      <c r="C44" s="372" t="s">
        <v>3464</v>
      </c>
      <c r="D44" s="372" t="s">
        <v>3467</v>
      </c>
      <c r="E44" s="372" t="s">
        <v>3466</v>
      </c>
    </row>
    <row r="45" spans="1:5" ht="90" thickBot="1" x14ac:dyDescent="0.3">
      <c r="A45" s="372" t="s">
        <v>3463</v>
      </c>
      <c r="B45" s="372" t="s">
        <v>3464</v>
      </c>
      <c r="C45" s="372" t="s">
        <v>3464</v>
      </c>
      <c r="D45" s="372" t="s">
        <v>3468</v>
      </c>
      <c r="E45" s="372" t="s">
        <v>3466</v>
      </c>
    </row>
    <row r="46" spans="1:5" ht="26.25" thickBot="1" x14ac:dyDescent="0.3">
      <c r="A46" s="372" t="s">
        <v>3463</v>
      </c>
      <c r="B46" s="372" t="s">
        <v>3464</v>
      </c>
      <c r="C46" s="372" t="s">
        <v>3464</v>
      </c>
      <c r="D46" s="372" t="s">
        <v>3469</v>
      </c>
      <c r="E46" s="372" t="s">
        <v>3466</v>
      </c>
    </row>
    <row r="47" spans="1:5" ht="39" thickBot="1" x14ac:dyDescent="0.3">
      <c r="A47" s="372" t="s">
        <v>3470</v>
      </c>
      <c r="B47" s="372" t="s">
        <v>3471</v>
      </c>
      <c r="C47" s="372" t="s">
        <v>3472</v>
      </c>
      <c r="D47" s="372" t="s">
        <v>3473</v>
      </c>
      <c r="E47" s="372" t="s">
        <v>3474</v>
      </c>
    </row>
    <row r="48" spans="1:5" ht="39" thickBot="1" x14ac:dyDescent="0.3">
      <c r="A48" s="372" t="s">
        <v>3470</v>
      </c>
      <c r="B48" s="372" t="s">
        <v>3471</v>
      </c>
      <c r="C48" s="372" t="s">
        <v>3472</v>
      </c>
      <c r="D48" s="372" t="s">
        <v>3475</v>
      </c>
      <c r="E48" s="372" t="s">
        <v>3474</v>
      </c>
    </row>
    <row r="49" spans="1:5" ht="51.75" thickBot="1" x14ac:dyDescent="0.3">
      <c r="A49" s="372" t="s">
        <v>3476</v>
      </c>
      <c r="B49" s="372" t="s">
        <v>3477</v>
      </c>
      <c r="C49" s="372" t="s">
        <v>1811</v>
      </c>
      <c r="D49" s="372" t="s">
        <v>3478</v>
      </c>
      <c r="E49" s="372" t="s">
        <v>3479</v>
      </c>
    </row>
    <row r="50" spans="1:5" ht="39" thickBot="1" x14ac:dyDescent="0.3">
      <c r="A50" s="372" t="s">
        <v>1808</v>
      </c>
      <c r="B50" s="372" t="s">
        <v>3480</v>
      </c>
      <c r="C50" s="372" t="s">
        <v>1811</v>
      </c>
      <c r="D50" s="372" t="s">
        <v>3481</v>
      </c>
      <c r="E50" s="372" t="s">
        <v>3479</v>
      </c>
    </row>
    <row r="51" spans="1:5" ht="26.25" thickBot="1" x14ac:dyDescent="0.3">
      <c r="A51" s="372" t="s">
        <v>1809</v>
      </c>
      <c r="B51" s="372" t="s">
        <v>1809</v>
      </c>
      <c r="C51" s="372" t="s">
        <v>1811</v>
      </c>
      <c r="D51" s="372" t="s">
        <v>3482</v>
      </c>
      <c r="E51" s="372" t="s">
        <v>3479</v>
      </c>
    </row>
    <row r="52" spans="1:5" ht="39" thickBot="1" x14ac:dyDescent="0.3">
      <c r="A52" s="372" t="s">
        <v>3483</v>
      </c>
      <c r="B52" s="372" t="s">
        <v>3484</v>
      </c>
      <c r="C52" s="372" t="s">
        <v>1811</v>
      </c>
      <c r="D52" s="372" t="s">
        <v>3485</v>
      </c>
      <c r="E52" s="372" t="s">
        <v>3479</v>
      </c>
    </row>
    <row r="53" spans="1:5" ht="26.25" thickBot="1" x14ac:dyDescent="0.3">
      <c r="A53" s="372" t="s">
        <v>3486</v>
      </c>
      <c r="B53" s="372" t="s">
        <v>1811</v>
      </c>
      <c r="C53" s="372" t="s">
        <v>1811</v>
      </c>
      <c r="D53" s="372" t="s">
        <v>3487</v>
      </c>
      <c r="E53" s="372" t="s">
        <v>3479</v>
      </c>
    </row>
    <row r="54" spans="1:5" ht="64.5" thickBot="1" x14ac:dyDescent="0.3">
      <c r="A54" s="372" t="s">
        <v>3488</v>
      </c>
      <c r="B54" s="372" t="s">
        <v>3489</v>
      </c>
      <c r="C54" s="372" t="s">
        <v>1811</v>
      </c>
      <c r="D54" s="372" t="s">
        <v>3490</v>
      </c>
      <c r="E54" s="372" t="s">
        <v>3479</v>
      </c>
    </row>
    <row r="55" spans="1:5" x14ac:dyDescent="0.25">
      <c r="A55" s="373"/>
    </row>
    <row r="56" spans="1:5" ht="30" x14ac:dyDescent="0.25">
      <c r="A56" s="368" t="s">
        <v>3491</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FJ602"/>
  <sheetViews>
    <sheetView tabSelected="1" zoomScale="85" zoomScaleNormal="85" workbookViewId="0">
      <selection activeCell="D3" sqref="D3"/>
    </sheetView>
  </sheetViews>
  <sheetFormatPr defaultColWidth="0" defaultRowHeight="0" customHeight="1" zeroHeight="1" x14ac:dyDescent="0.3"/>
  <cols>
    <col min="1" max="1" width="3.7109375" style="284" customWidth="1"/>
    <col min="2" max="2" width="17.28515625" style="291" customWidth="1"/>
    <col min="3" max="3" width="3.7109375" style="291" customWidth="1"/>
    <col min="4" max="4" width="39.5703125" style="291" customWidth="1"/>
    <col min="5" max="5" width="23.28515625" style="291" customWidth="1"/>
    <col min="6" max="6" width="11.28515625" style="291" customWidth="1"/>
    <col min="7" max="7" width="15.28515625" style="291" customWidth="1"/>
    <col min="8" max="8" width="16.7109375" style="291" customWidth="1"/>
    <col min="9" max="9" width="14.7109375" style="291" customWidth="1"/>
    <col min="10" max="10" width="2.7109375" style="291" customWidth="1"/>
    <col min="11" max="11" width="9.28515625" style="291" customWidth="1"/>
    <col min="12" max="12" width="6.7109375" style="113" customWidth="1"/>
    <col min="13" max="13" width="19" style="113" customWidth="1"/>
    <col min="14" max="14" width="16.28515625" style="113" customWidth="1"/>
    <col min="15" max="15" width="13.7109375" style="113" customWidth="1"/>
    <col min="16" max="16" width="10" style="113" customWidth="1"/>
    <col min="17" max="17" width="12.5703125" style="113" customWidth="1"/>
    <col min="18" max="18" width="32.28515625" style="113" customWidth="1"/>
    <col min="19" max="19" width="4.5703125" style="113" customWidth="1"/>
    <col min="20" max="20" width="15.28515625" style="135" hidden="1" customWidth="1"/>
    <col min="21" max="21" width="53.5703125" style="135" hidden="1" customWidth="1"/>
    <col min="22" max="23" width="38.28515625" style="135" hidden="1" customWidth="1"/>
    <col min="24" max="24" width="14.5703125" style="135" hidden="1" customWidth="1"/>
    <col min="25" max="25" width="32.7109375" style="135" hidden="1" customWidth="1"/>
    <col min="26" max="27" width="9.28515625" style="135" hidden="1" customWidth="1"/>
    <col min="28" max="28" width="19.5703125" style="135" hidden="1" customWidth="1"/>
    <col min="29" max="29" width="43.7109375" style="135" hidden="1" customWidth="1"/>
    <col min="30" max="30" width="53.5703125" style="135" hidden="1" customWidth="1"/>
    <col min="31" max="33" width="65.5703125" style="135" hidden="1" customWidth="1"/>
    <col min="34" max="34" width="45.42578125" style="135" hidden="1" customWidth="1"/>
    <col min="35" max="37" width="57" style="135" hidden="1" customWidth="1"/>
    <col min="38" max="38" width="56.7109375" style="135" hidden="1" customWidth="1"/>
    <col min="39" max="39" width="46.42578125" style="135" hidden="1" customWidth="1"/>
    <col min="40" max="40" width="24.42578125" style="135" hidden="1" customWidth="1"/>
    <col min="41" max="42" width="9.28515625" style="135" hidden="1" customWidth="1"/>
    <col min="43" max="43" width="21.5703125" style="135" hidden="1" customWidth="1"/>
    <col min="44" max="44" width="15.7109375" style="135" hidden="1" customWidth="1"/>
    <col min="45" max="45" width="9.28515625" style="135" hidden="1" customWidth="1"/>
    <col min="46" max="46" width="20.7109375" style="135" hidden="1" customWidth="1"/>
    <col min="47" max="47" width="9.28515625" style="135" hidden="1" customWidth="1"/>
    <col min="48" max="48" width="10.5703125" style="135" hidden="1" customWidth="1"/>
    <col min="49" max="49" width="21.28515625" style="135" hidden="1" customWidth="1"/>
    <col min="50" max="50" width="80.7109375" style="165" hidden="1" customWidth="1"/>
    <col min="51" max="51" width="23.7109375" style="135" hidden="1" customWidth="1"/>
    <col min="52" max="52" width="14.5703125" style="166" hidden="1" customWidth="1"/>
    <col min="53" max="53" width="12" style="135" hidden="1" customWidth="1"/>
    <col min="54" max="54" width="26.28515625" style="135" hidden="1" customWidth="1"/>
    <col min="55" max="55" width="12.28515625" style="135" hidden="1" customWidth="1"/>
    <col min="56" max="58" width="9.28515625" style="135" hidden="1" customWidth="1"/>
    <col min="59" max="59" width="12" style="135" hidden="1" customWidth="1"/>
    <col min="60" max="60" width="11.5703125" style="135" hidden="1" customWidth="1"/>
    <col min="61" max="61" width="11.28515625" style="135" hidden="1" customWidth="1"/>
    <col min="62" max="62" width="9.28515625" style="135" hidden="1" customWidth="1"/>
    <col min="63" max="63" width="27.28515625" style="167" hidden="1" customWidth="1"/>
    <col min="64" max="64" width="13.7109375" style="156" hidden="1" customWidth="1"/>
    <col min="65" max="65" width="29.42578125" style="135" hidden="1" customWidth="1"/>
    <col min="66" max="66" width="19.28515625" style="135" hidden="1" customWidth="1"/>
    <col min="67" max="67" width="32" style="135" hidden="1" customWidth="1"/>
    <col min="68" max="68" width="13.7109375" style="135" hidden="1" customWidth="1"/>
    <col min="69" max="69" width="15" style="135" hidden="1" customWidth="1"/>
    <col min="70" max="71" width="9.28515625" style="135" hidden="1" customWidth="1"/>
    <col min="72" max="72" width="15.5703125" style="135" hidden="1" customWidth="1"/>
    <col min="73" max="73" width="9.28515625" style="135" hidden="1" customWidth="1"/>
    <col min="74" max="74" width="18.7109375" style="135" hidden="1" customWidth="1"/>
    <col min="75" max="75" width="10.42578125" style="135" hidden="1" customWidth="1"/>
    <col min="76" max="77" width="9.28515625" style="135" hidden="1" customWidth="1"/>
    <col min="78" max="78" width="12.28515625" style="135" hidden="1" customWidth="1"/>
    <col min="79" max="84" width="9.28515625" style="135" hidden="1" customWidth="1"/>
    <col min="85" max="85" width="17" style="135" hidden="1" customWidth="1"/>
    <col min="86" max="103" width="9.28515625" style="135" hidden="1" customWidth="1"/>
    <col min="104" max="105" width="14.5703125" style="135" hidden="1" customWidth="1"/>
    <col min="106" max="110" width="9.28515625" style="135" hidden="1" customWidth="1"/>
    <col min="111" max="111" width="45" style="135" hidden="1" customWidth="1"/>
    <col min="112" max="112" width="18.5703125" style="135" hidden="1" customWidth="1"/>
    <col min="113" max="118" width="9.28515625" style="135" hidden="1" customWidth="1"/>
    <col min="119" max="123" width="44.28515625" style="135" hidden="1" customWidth="1"/>
    <col min="124" max="124" width="17.7109375" style="135" hidden="1" customWidth="1"/>
    <col min="125" max="127" width="9.28515625" style="135" hidden="1" customWidth="1"/>
    <col min="128" max="128" width="14.42578125" style="135" hidden="1" customWidth="1"/>
    <col min="129" max="130" width="9.28515625" style="135" hidden="1" customWidth="1"/>
    <col min="131" max="131" width="10.28515625" style="135" hidden="1" customWidth="1"/>
    <col min="132" max="144" width="9.28515625" style="135" hidden="1" customWidth="1"/>
    <col min="145" max="145" width="36.42578125" style="135" hidden="1" customWidth="1"/>
    <col min="146" max="146" width="14.28515625" style="135" hidden="1" customWidth="1"/>
    <col min="147" max="147" width="17.5703125" style="135" hidden="1" customWidth="1"/>
    <col min="148" max="149" width="9.28515625" style="135" hidden="1" customWidth="1"/>
    <col min="150" max="150" width="35" style="135" hidden="1" customWidth="1"/>
    <col min="151" max="154" width="9.28515625" style="135" hidden="1" customWidth="1"/>
    <col min="155" max="155" width="7.5703125" style="135" hidden="1" customWidth="1"/>
    <col min="156" max="162" width="35" style="135" hidden="1" customWidth="1"/>
    <col min="163" max="163" width="13.28515625" style="135" hidden="1" customWidth="1"/>
    <col min="164" max="164" width="14.7109375" style="135" hidden="1" customWidth="1"/>
    <col min="165" max="16384" width="9.28515625" style="135" hidden="1"/>
  </cols>
  <sheetData>
    <row r="1" spans="1:166" ht="19.5" thickBot="1" x14ac:dyDescent="0.35">
      <c r="A1" s="302"/>
      <c r="B1" s="302"/>
      <c r="C1" s="302"/>
      <c r="D1" s="302"/>
      <c r="E1" s="302"/>
      <c r="F1" s="302"/>
      <c r="G1" s="302"/>
      <c r="H1" s="463">
        <v>0.97</v>
      </c>
      <c r="I1" s="463"/>
      <c r="J1" s="302"/>
      <c r="K1" s="302"/>
      <c r="L1" s="302"/>
      <c r="M1" s="335" t="s">
        <v>3704</v>
      </c>
      <c r="N1" s="302"/>
      <c r="O1" s="302"/>
      <c r="P1" s="302"/>
      <c r="Q1" s="302"/>
      <c r="R1" s="302"/>
      <c r="S1" s="302"/>
      <c r="T1" s="134">
        <f ca="1">IF($I$33&gt;0,$M$6+$M$12+$T$19,$M$6+$M$12)</f>
        <v>0</v>
      </c>
      <c r="U1" s="156">
        <f>IFERROR(BQ10,0)</f>
        <v>0</v>
      </c>
      <c r="V1" s="333" t="e">
        <f>M8/M6</f>
        <v>#DIV/0!</v>
      </c>
      <c r="AZ1" s="166">
        <v>30.16</v>
      </c>
      <c r="DO1" s="142" t="e">
        <f>VLOOKUP(DP1,$DR$2:$DS$50,2,FALSE)</f>
        <v>#N/A</v>
      </c>
      <c r="DP1" s="135">
        <f>G10</f>
        <v>0</v>
      </c>
      <c r="DT1" s="135" t="s">
        <v>2741</v>
      </c>
      <c r="DU1" s="135" t="s">
        <v>1161</v>
      </c>
      <c r="DV1" s="135" t="s">
        <v>6</v>
      </c>
      <c r="DW1" s="135" t="s">
        <v>1809</v>
      </c>
      <c r="DX1" s="135" t="s">
        <v>2742</v>
      </c>
      <c r="DY1" s="135" t="s">
        <v>2743</v>
      </c>
      <c r="ED1" s="135">
        <f>G10</f>
        <v>0</v>
      </c>
      <c r="EE1" s="135">
        <f>IFERROR(VLOOKUP(ED1,DU2:DW83,3,0),0)</f>
        <v>0</v>
      </c>
      <c r="EF1" s="135">
        <f>IF(EE1="nee",1,2)</f>
        <v>2</v>
      </c>
      <c r="EG1" s="135">
        <f>IF(Q24="Meerzorg",3,4)</f>
        <v>4</v>
      </c>
      <c r="EH1" s="135">
        <f>SUM(EF1:EG1)</f>
        <v>6</v>
      </c>
      <c r="EI1" s="135" t="str">
        <f>IF(EH1=4,"Meerzorg is niet toegestaan bij dit ZZP tenzij client Wlz indiceerbaar is en recht op het vangnet heeft"," ")</f>
        <v xml:space="preserve"> </v>
      </c>
      <c r="EK1" s="135" t="s">
        <v>2759</v>
      </c>
      <c r="EN1" s="168" t="s">
        <v>2760</v>
      </c>
      <c r="EO1" s="168" t="s">
        <v>2762</v>
      </c>
      <c r="EP1" s="168" t="s">
        <v>47</v>
      </c>
      <c r="EQ1" s="168" t="s">
        <v>3360</v>
      </c>
      <c r="ER1" s="135" t="s">
        <v>3361</v>
      </c>
      <c r="ET1" s="135" t="s">
        <v>2804</v>
      </c>
      <c r="EU1" s="135" t="s">
        <v>2764</v>
      </c>
      <c r="EY1" s="135" t="s">
        <v>1161</v>
      </c>
      <c r="EZ1" s="135" t="s">
        <v>3322</v>
      </c>
      <c r="FC1" s="135" t="s">
        <v>3323</v>
      </c>
      <c r="FD1" s="135" t="s">
        <v>3324</v>
      </c>
      <c r="FI1" s="135" t="s">
        <v>3344</v>
      </c>
      <c r="FJ1" s="135" t="s">
        <v>3345</v>
      </c>
    </row>
    <row r="2" spans="1:166" ht="19.5" thickBot="1" x14ac:dyDescent="0.35">
      <c r="A2" s="302"/>
      <c r="B2" s="334" t="s">
        <v>1720</v>
      </c>
      <c r="C2" s="335"/>
      <c r="D2" s="336" t="s">
        <v>3341</v>
      </c>
      <c r="E2" s="312"/>
      <c r="F2" s="302"/>
      <c r="G2" s="302"/>
      <c r="H2" s="302"/>
      <c r="I2" s="302"/>
      <c r="J2" s="302"/>
      <c r="K2" s="302"/>
      <c r="L2" s="302"/>
      <c r="M2" s="302"/>
      <c r="N2" s="302"/>
      <c r="O2" s="302"/>
      <c r="P2" s="302"/>
      <c r="Q2" s="302"/>
      <c r="R2" s="302"/>
      <c r="S2" s="302"/>
      <c r="T2" s="511" t="s">
        <v>1573</v>
      </c>
      <c r="U2" s="512"/>
      <c r="V2" s="499" t="s">
        <v>1571</v>
      </c>
      <c r="W2" s="500"/>
      <c r="X2" s="500"/>
      <c r="Y2" s="500"/>
      <c r="Z2" s="500"/>
      <c r="AA2" s="501"/>
      <c r="AB2" s="508" t="s">
        <v>1572</v>
      </c>
      <c r="AC2" s="487" t="s">
        <v>1570</v>
      </c>
      <c r="AD2" s="488"/>
      <c r="AE2" s="488"/>
      <c r="AF2" s="488"/>
      <c r="AG2" s="488"/>
      <c r="AH2" s="488"/>
      <c r="AI2" s="488"/>
      <c r="AJ2" s="489"/>
      <c r="AK2" s="489"/>
      <c r="AL2" s="489"/>
      <c r="AM2" s="490"/>
      <c r="AN2" s="169" t="s">
        <v>1574</v>
      </c>
      <c r="AO2" s="170"/>
      <c r="AP2" s="170"/>
      <c r="AQ2" s="170"/>
      <c r="AR2" s="170"/>
      <c r="AS2" s="170"/>
      <c r="AT2" s="170"/>
      <c r="AU2" s="170"/>
      <c r="AV2" s="170"/>
      <c r="AW2" s="170"/>
      <c r="AX2" s="171" t="s">
        <v>1588</v>
      </c>
      <c r="AY2" s="172"/>
      <c r="AZ2" s="172"/>
      <c r="BA2" s="172"/>
      <c r="BB2" s="173" t="s">
        <v>1589</v>
      </c>
      <c r="BC2" s="173"/>
      <c r="BD2" s="478" t="s">
        <v>1599</v>
      </c>
      <c r="BE2" s="479"/>
      <c r="BF2" s="479"/>
      <c r="BG2" s="479"/>
      <c r="BH2" s="479"/>
      <c r="BI2" s="479"/>
      <c r="BJ2" s="479"/>
      <c r="BK2" s="174" t="s">
        <v>1600</v>
      </c>
      <c r="BL2" s="175"/>
      <c r="BM2" s="176" t="s">
        <v>1602</v>
      </c>
      <c r="BN2" s="177" t="s">
        <v>1604</v>
      </c>
      <c r="BO2" s="178" t="s">
        <v>1605</v>
      </c>
      <c r="BP2" s="178"/>
      <c r="BQ2" s="178">
        <f>IFERROR(VLOOKUP(Q23,BN12:BP14,3,FALSE),0)</f>
        <v>0</v>
      </c>
      <c r="BR2" s="179" t="s">
        <v>1432</v>
      </c>
      <c r="BS2" s="179"/>
      <c r="BT2" s="179"/>
      <c r="BU2" s="179"/>
      <c r="BV2" s="179" t="s">
        <v>1291</v>
      </c>
      <c r="BW2" s="179"/>
      <c r="BX2" s="179"/>
      <c r="BY2" s="180" t="s">
        <v>1613</v>
      </c>
      <c r="BZ2" s="170"/>
      <c r="CA2" s="170"/>
      <c r="CB2" s="170"/>
      <c r="CC2" s="170"/>
      <c r="CD2" s="170"/>
      <c r="CE2" s="170"/>
      <c r="CF2" s="170"/>
      <c r="CG2" s="170"/>
      <c r="CH2" s="170"/>
      <c r="CI2" s="135" t="s">
        <v>6</v>
      </c>
      <c r="CL2" s="135" t="s">
        <v>1623</v>
      </c>
      <c r="CY2" s="135" t="s">
        <v>1625</v>
      </c>
      <c r="DR2" s="135" t="s">
        <v>2648</v>
      </c>
      <c r="DS2" s="135" t="s">
        <v>2688</v>
      </c>
      <c r="DT2" s="135" t="str">
        <f>IF(D42="meerzorg","ja","nee")</f>
        <v>nee</v>
      </c>
      <c r="DU2" s="181" t="s">
        <v>1263</v>
      </c>
      <c r="DV2" s="182" t="s">
        <v>1278</v>
      </c>
      <c r="DW2" s="135" t="s">
        <v>1598</v>
      </c>
      <c r="DX2" s="135">
        <v>0</v>
      </c>
      <c r="DY2" s="135">
        <v>10</v>
      </c>
      <c r="EK2" s="135" t="s">
        <v>2760</v>
      </c>
      <c r="EN2" s="183" t="s">
        <v>1542</v>
      </c>
      <c r="EO2" s="183" t="s">
        <v>1542</v>
      </c>
      <c r="EP2" s="184" t="s">
        <v>2994</v>
      </c>
      <c r="EQ2" s="168" t="s">
        <v>2763</v>
      </c>
      <c r="ER2" s="135" t="s">
        <v>2763</v>
      </c>
      <c r="ET2" s="135" t="s">
        <v>2805</v>
      </c>
      <c r="EU2" s="135" t="s">
        <v>2765</v>
      </c>
      <c r="EY2" s="135" t="s">
        <v>2656</v>
      </c>
      <c r="EZ2" s="135" t="s">
        <v>2804</v>
      </c>
      <c r="FA2" s="135" t="s">
        <v>3360</v>
      </c>
      <c r="FB2" s="135" t="str">
        <f t="shared" ref="FB2:FB7" si="0">CONCATENATE(EY2,FA2)</f>
        <v>1vvOpname</v>
      </c>
      <c r="FC2" s="156">
        <f>VLOOKUP(EZ2,'Tarieven ZZP'!$D$6:$J$134,7,FALSE)</f>
        <v>99.87</v>
      </c>
      <c r="FD2" s="156">
        <f>FC2*7</f>
        <v>699.09</v>
      </c>
      <c r="FI2" s="181" t="s">
        <v>1263</v>
      </c>
      <c r="FJ2" s="135">
        <v>2</v>
      </c>
    </row>
    <row r="3" spans="1:166" ht="19.5" thickBot="1" x14ac:dyDescent="0.35">
      <c r="A3" s="302"/>
      <c r="B3" s="334" t="s">
        <v>1719</v>
      </c>
      <c r="C3" s="335"/>
      <c r="D3" s="337" t="s">
        <v>2696</v>
      </c>
      <c r="E3" s="312"/>
      <c r="F3" s="302"/>
      <c r="G3" s="302"/>
      <c r="H3" s="302"/>
      <c r="I3" s="302"/>
      <c r="J3" s="302"/>
      <c r="K3" s="314"/>
      <c r="L3" s="302"/>
      <c r="M3" s="302"/>
      <c r="N3" s="302"/>
      <c r="O3" s="302"/>
      <c r="P3" s="302"/>
      <c r="Q3" s="302"/>
      <c r="R3" s="302"/>
      <c r="S3" s="302"/>
      <c r="T3" s="513"/>
      <c r="U3" s="514"/>
      <c r="V3" s="502"/>
      <c r="W3" s="503"/>
      <c r="X3" s="503"/>
      <c r="Y3" s="503"/>
      <c r="Z3" s="503"/>
      <c r="AA3" s="504"/>
      <c r="AB3" s="509"/>
      <c r="AC3" s="491"/>
      <c r="AD3" s="492"/>
      <c r="AE3" s="492"/>
      <c r="AF3" s="492"/>
      <c r="AG3" s="492"/>
      <c r="AH3" s="492"/>
      <c r="AI3" s="492"/>
      <c r="AJ3" s="493"/>
      <c r="AK3" s="493"/>
      <c r="AL3" s="493"/>
      <c r="AM3" s="494"/>
      <c r="AN3" s="185"/>
      <c r="AO3" s="170"/>
      <c r="AP3" s="170"/>
      <c r="AQ3" s="170"/>
      <c r="AR3" s="170"/>
      <c r="AS3" s="170"/>
      <c r="AT3" s="170"/>
      <c r="AU3" s="170"/>
      <c r="AV3" s="170"/>
      <c r="AW3" s="170"/>
      <c r="AX3" s="171"/>
      <c r="AY3" s="172"/>
      <c r="AZ3" s="172"/>
      <c r="BA3" s="172"/>
      <c r="BB3" s="173"/>
      <c r="BC3" s="173"/>
      <c r="BD3" s="186"/>
      <c r="BE3" s="187"/>
      <c r="BF3" s="187"/>
      <c r="BG3" s="187"/>
      <c r="BH3" s="187"/>
      <c r="BI3" s="187"/>
      <c r="BJ3" s="187"/>
      <c r="BK3" s="174"/>
      <c r="BL3" s="175"/>
      <c r="BM3" s="176"/>
      <c r="BN3" s="177"/>
      <c r="BO3" s="178"/>
      <c r="BP3" s="178"/>
      <c r="BQ3" s="178"/>
      <c r="BR3" s="179"/>
      <c r="BS3" s="179"/>
      <c r="BT3" s="179"/>
      <c r="BU3" s="179"/>
      <c r="BV3" s="179"/>
      <c r="BW3" s="179"/>
      <c r="BX3" s="179"/>
      <c r="BY3" s="188"/>
      <c r="BZ3" s="170"/>
      <c r="CA3" s="170"/>
      <c r="CB3" s="170"/>
      <c r="CC3" s="170"/>
      <c r="CD3" s="170"/>
      <c r="CE3" s="170"/>
      <c r="CF3" s="170"/>
      <c r="CG3" s="170"/>
      <c r="CH3" s="170"/>
      <c r="DU3" s="181"/>
      <c r="DV3" s="182"/>
      <c r="EK3" s="135" t="s">
        <v>47</v>
      </c>
      <c r="EN3" s="189" t="s">
        <v>1253</v>
      </c>
      <c r="EO3" s="189" t="s">
        <v>1253</v>
      </c>
      <c r="EP3" s="168" t="s">
        <v>6</v>
      </c>
      <c r="EQ3" s="168" t="s">
        <v>6</v>
      </c>
      <c r="ER3" s="135" t="s">
        <v>3347</v>
      </c>
      <c r="ET3" s="135" t="s">
        <v>2806</v>
      </c>
      <c r="EU3" s="135" t="s">
        <v>2766</v>
      </c>
      <c r="EY3" s="135" t="s">
        <v>2658</v>
      </c>
      <c r="EZ3" s="135" t="s">
        <v>2805</v>
      </c>
      <c r="FA3" s="135" t="s">
        <v>3360</v>
      </c>
      <c r="FB3" s="135" t="str">
        <f t="shared" si="0"/>
        <v>2vvOpname</v>
      </c>
      <c r="FC3" s="156">
        <f>VLOOKUP(EZ3,'Tarieven ZZP'!$D$6:$J$134,7,FALSE)</f>
        <v>128.08000000000001</v>
      </c>
      <c r="FD3" s="156">
        <f t="shared" ref="FD3:FD42" si="1">FC3*7</f>
        <v>896.56000000000006</v>
      </c>
      <c r="FI3" s="181" t="s">
        <v>1265</v>
      </c>
      <c r="FJ3" s="135">
        <v>2</v>
      </c>
    </row>
    <row r="4" spans="1:166" ht="19.5" thickBot="1" x14ac:dyDescent="0.35">
      <c r="A4" s="302"/>
      <c r="B4" s="334" t="s">
        <v>3359</v>
      </c>
      <c r="C4" s="335"/>
      <c r="D4" s="338" t="s">
        <v>3537</v>
      </c>
      <c r="E4" s="312"/>
      <c r="F4" s="302"/>
      <c r="G4" s="302"/>
      <c r="H4" s="302"/>
      <c r="I4" s="302"/>
      <c r="J4" s="302"/>
      <c r="K4" s="302"/>
      <c r="L4" s="302"/>
      <c r="M4" s="302"/>
      <c r="N4" s="284"/>
      <c r="O4" s="302"/>
      <c r="P4" s="302"/>
      <c r="Q4" s="302"/>
      <c r="R4" s="302"/>
      <c r="S4" s="302"/>
      <c r="T4" s="513"/>
      <c r="U4" s="514"/>
      <c r="V4" s="502"/>
      <c r="W4" s="503"/>
      <c r="X4" s="503"/>
      <c r="Y4" s="503"/>
      <c r="Z4" s="503"/>
      <c r="AA4" s="504"/>
      <c r="AB4" s="509"/>
      <c r="AC4" s="491"/>
      <c r="AD4" s="492"/>
      <c r="AE4" s="492"/>
      <c r="AF4" s="492"/>
      <c r="AG4" s="492"/>
      <c r="AH4" s="492"/>
      <c r="AI4" s="492"/>
      <c r="AJ4" s="493"/>
      <c r="AK4" s="493"/>
      <c r="AL4" s="493"/>
      <c r="AM4" s="494"/>
      <c r="AN4" s="185"/>
      <c r="AO4" s="170"/>
      <c r="AP4" s="170"/>
      <c r="AQ4" s="170"/>
      <c r="AR4" s="170"/>
      <c r="AS4" s="170"/>
      <c r="AT4" s="170"/>
      <c r="AU4" s="170"/>
      <c r="AV4" s="170"/>
      <c r="AW4" s="170"/>
      <c r="AX4" s="171"/>
      <c r="AY4" s="172"/>
      <c r="AZ4" s="172"/>
      <c r="BA4" s="172"/>
      <c r="BB4" s="173"/>
      <c r="BC4" s="173"/>
      <c r="BD4" s="186"/>
      <c r="BE4" s="187"/>
      <c r="BF4" s="187"/>
      <c r="BG4" s="187"/>
      <c r="BH4" s="187"/>
      <c r="BI4" s="187"/>
      <c r="BJ4" s="187"/>
      <c r="BK4" s="174"/>
      <c r="BL4" s="175"/>
      <c r="BM4" s="176"/>
      <c r="BN4" s="177"/>
      <c r="BO4" s="178"/>
      <c r="BP4" s="178"/>
      <c r="BQ4" s="178"/>
      <c r="BR4" s="179"/>
      <c r="BS4" s="179"/>
      <c r="BT4" s="179"/>
      <c r="BU4" s="179"/>
      <c r="BV4" s="179"/>
      <c r="BW4" s="179"/>
      <c r="BX4" s="179"/>
      <c r="BY4" s="188"/>
      <c r="BZ4" s="170"/>
      <c r="CA4" s="170"/>
      <c r="CB4" s="170"/>
      <c r="CC4" s="170"/>
      <c r="CD4" s="170"/>
      <c r="CE4" s="170"/>
      <c r="CF4" s="170"/>
      <c r="CG4" s="170"/>
      <c r="CH4" s="170"/>
      <c r="DU4" s="181"/>
      <c r="DV4" s="182"/>
      <c r="EK4" s="135" t="s">
        <v>3360</v>
      </c>
      <c r="EN4" s="189" t="s">
        <v>1255</v>
      </c>
      <c r="EO4" s="189" t="s">
        <v>1255</v>
      </c>
      <c r="EP4" s="168" t="s">
        <v>1545</v>
      </c>
      <c r="EQ4" s="168" t="s">
        <v>1545</v>
      </c>
      <c r="ET4" s="135" t="s">
        <v>2814</v>
      </c>
      <c r="EU4" s="135" t="s">
        <v>2926</v>
      </c>
      <c r="EY4" s="135" t="s">
        <v>2657</v>
      </c>
      <c r="EZ4" s="135" t="s">
        <v>2814</v>
      </c>
      <c r="FA4" s="135" t="s">
        <v>3360</v>
      </c>
      <c r="FB4" s="135" t="str">
        <f t="shared" si="0"/>
        <v>3vvOpname</v>
      </c>
      <c r="FC4" s="156">
        <f>VLOOKUP(EZ4,'Tarieven ZZP'!$D$6:$J$134,7,FALSE)</f>
        <v>183.28</v>
      </c>
      <c r="FD4" s="156">
        <f t="shared" si="1"/>
        <v>1282.96</v>
      </c>
      <c r="FI4" s="181" t="s">
        <v>1266</v>
      </c>
      <c r="FJ4" s="135">
        <v>2</v>
      </c>
    </row>
    <row r="5" spans="1:166" ht="19.5" thickBot="1" x14ac:dyDescent="0.35">
      <c r="A5" s="302"/>
      <c r="B5" s="334"/>
      <c r="C5" s="335"/>
      <c r="D5" s="339"/>
      <c r="E5" s="312"/>
      <c r="F5" s="469"/>
      <c r="G5" s="469"/>
      <c r="H5" s="469"/>
      <c r="I5" s="302"/>
      <c r="J5" s="302"/>
      <c r="K5" s="302"/>
      <c r="L5" s="302"/>
      <c r="M5" s="343" t="str">
        <f>IF(OR(F5="opname",F5="VPT"),"Financiële ruimte","Extramurale ruimte")</f>
        <v>Extramurale ruimte</v>
      </c>
      <c r="N5" s="302"/>
      <c r="O5" s="302"/>
      <c r="P5" s="302"/>
      <c r="Q5" s="302"/>
      <c r="R5" s="302"/>
      <c r="S5" s="302"/>
      <c r="T5" s="513"/>
      <c r="U5" s="514"/>
      <c r="V5" s="502"/>
      <c r="W5" s="503"/>
      <c r="X5" s="503"/>
      <c r="Y5" s="503"/>
      <c r="Z5" s="503"/>
      <c r="AA5" s="504"/>
      <c r="AB5" s="509"/>
      <c r="AC5" s="491"/>
      <c r="AD5" s="492"/>
      <c r="AE5" s="492"/>
      <c r="AF5" s="492"/>
      <c r="AG5" s="492"/>
      <c r="AH5" s="492"/>
      <c r="AI5" s="492"/>
      <c r="AJ5" s="493"/>
      <c r="AK5" s="493"/>
      <c r="AL5" s="493"/>
      <c r="AM5" s="494"/>
      <c r="AN5" s="185"/>
      <c r="AO5" s="170"/>
      <c r="AP5" s="170"/>
      <c r="AQ5" s="170"/>
      <c r="AR5" s="170"/>
      <c r="AS5" s="170"/>
      <c r="AT5" s="170"/>
      <c r="AU5" s="170"/>
      <c r="AV5" s="170"/>
      <c r="AW5" s="170"/>
      <c r="AX5" s="171"/>
      <c r="AY5" s="172"/>
      <c r="AZ5" s="172"/>
      <c r="BA5" s="172"/>
      <c r="BB5" s="173"/>
      <c r="BC5" s="173"/>
      <c r="BD5" s="186"/>
      <c r="BE5" s="187"/>
      <c r="BF5" s="187"/>
      <c r="BG5" s="187"/>
      <c r="BH5" s="187"/>
      <c r="BI5" s="187"/>
      <c r="BJ5" s="187"/>
      <c r="BK5" s="174"/>
      <c r="BL5" s="175"/>
      <c r="BM5" s="176" t="s">
        <v>3701</v>
      </c>
      <c r="BN5" s="195">
        <f>$M$6*25%</f>
        <v>0</v>
      </c>
      <c r="BO5" s="178"/>
      <c r="BP5" s="178"/>
      <c r="BQ5" s="178"/>
      <c r="BR5" s="179"/>
      <c r="BS5" s="179"/>
      <c r="BT5" s="179"/>
      <c r="BU5" s="179"/>
      <c r="BV5" s="179"/>
      <c r="BW5" s="179"/>
      <c r="BX5" s="179"/>
      <c r="BY5" s="188"/>
      <c r="BZ5" s="170"/>
      <c r="CA5" s="170"/>
      <c r="CB5" s="170"/>
      <c r="CC5" s="170"/>
      <c r="CD5" s="170"/>
      <c r="CE5" s="170"/>
      <c r="CF5" s="170"/>
      <c r="CG5" s="170"/>
      <c r="CH5" s="170"/>
      <c r="DU5" s="181"/>
      <c r="DV5" s="182"/>
      <c r="EN5" s="189" t="s">
        <v>1543</v>
      </c>
      <c r="EO5" s="189" t="s">
        <v>1543</v>
      </c>
      <c r="EP5" s="168" t="s">
        <v>1544</v>
      </c>
      <c r="EQ5" s="168" t="s">
        <v>1544</v>
      </c>
      <c r="ER5" s="135" t="s">
        <v>3348</v>
      </c>
      <c r="ET5" s="135" t="s">
        <v>2807</v>
      </c>
      <c r="EU5" s="135" t="s">
        <v>2767</v>
      </c>
      <c r="EY5" s="135" t="s">
        <v>2659</v>
      </c>
      <c r="EZ5" s="135" t="s">
        <v>2815</v>
      </c>
      <c r="FA5" s="135" t="s">
        <v>3360</v>
      </c>
      <c r="FB5" s="135" t="str">
        <f t="shared" si="0"/>
        <v>4vvOpname</v>
      </c>
      <c r="FC5" s="156">
        <f>VLOOKUP(EZ5,'Tarieven ZZP'!$D$6:$J$134,7,FALSE)</f>
        <v>197.33</v>
      </c>
      <c r="FD5" s="156">
        <f t="shared" si="1"/>
        <v>1381.3100000000002</v>
      </c>
      <c r="FI5" s="181" t="s">
        <v>1267</v>
      </c>
      <c r="FJ5" s="135">
        <v>2</v>
      </c>
    </row>
    <row r="6" spans="1:166" ht="19.5" customHeight="1" thickBot="1" x14ac:dyDescent="0.35">
      <c r="A6" s="302"/>
      <c r="B6" s="334" t="s">
        <v>2758</v>
      </c>
      <c r="C6" s="335"/>
      <c r="D6" s="340"/>
      <c r="E6" s="313"/>
      <c r="F6" s="469"/>
      <c r="G6" s="469"/>
      <c r="H6" s="469"/>
      <c r="I6" s="302"/>
      <c r="J6" s="302"/>
      <c r="K6" s="302"/>
      <c r="L6" s="302"/>
      <c r="M6" s="289">
        <f>IFERROR(IF(OR(F5="opname",F5="VPT"),FF7*H1,BQ10),0)</f>
        <v>0</v>
      </c>
      <c r="N6" s="302"/>
      <c r="O6" s="302"/>
      <c r="P6" s="302"/>
      <c r="Q6" s="302"/>
      <c r="R6" s="302"/>
      <c r="S6" s="302"/>
      <c r="T6" s="515"/>
      <c r="U6" s="516"/>
      <c r="V6" s="505"/>
      <c r="W6" s="506"/>
      <c r="X6" s="506"/>
      <c r="Y6" s="506"/>
      <c r="Z6" s="506"/>
      <c r="AA6" s="507"/>
      <c r="AB6" s="510"/>
      <c r="AC6" s="495"/>
      <c r="AD6" s="496"/>
      <c r="AE6" s="496"/>
      <c r="AF6" s="496"/>
      <c r="AG6" s="496"/>
      <c r="AH6" s="496"/>
      <c r="AI6" s="496"/>
      <c r="AJ6" s="497"/>
      <c r="AK6" s="497"/>
      <c r="AL6" s="497"/>
      <c r="AM6" s="498"/>
      <c r="AN6" s="170"/>
      <c r="AO6" s="170"/>
      <c r="AP6" s="170"/>
      <c r="AQ6" s="170"/>
      <c r="AR6" s="170"/>
      <c r="AS6" s="170"/>
      <c r="AT6" s="170"/>
      <c r="AU6" s="170"/>
      <c r="AV6" s="170"/>
      <c r="AW6" s="170"/>
      <c r="AX6" s="171"/>
      <c r="AY6" s="172"/>
      <c r="AZ6" s="172"/>
      <c r="BA6" s="172"/>
      <c r="BB6" s="173"/>
      <c r="BC6" s="173"/>
      <c r="BD6" s="190"/>
      <c r="BE6" s="191" t="s">
        <v>1258</v>
      </c>
      <c r="BF6" s="192" t="s">
        <v>1259</v>
      </c>
      <c r="BG6" s="193"/>
      <c r="BH6" s="193"/>
      <c r="BI6" s="193"/>
      <c r="BJ6" s="193"/>
      <c r="BK6" s="194"/>
      <c r="BL6" s="175"/>
      <c r="BM6" s="176" t="s">
        <v>1723</v>
      </c>
      <c r="BN6" s="195">
        <f>$M$6*25%</f>
        <v>0</v>
      </c>
      <c r="BO6" s="178" t="s">
        <v>1606</v>
      </c>
      <c r="BP6" s="178"/>
      <c r="BQ6" s="178">
        <v>0</v>
      </c>
      <c r="BR6" s="179" t="s">
        <v>1607</v>
      </c>
      <c r="BS6" s="179"/>
      <c r="BT6" s="196">
        <f ca="1">$M$10+$M$12+$BW$14</f>
        <v>0</v>
      </c>
      <c r="BU6" s="179"/>
      <c r="BV6" s="179" t="s">
        <v>1729</v>
      </c>
      <c r="BW6" s="196">
        <f ca="1">BC9</f>
        <v>0</v>
      </c>
      <c r="BX6" s="179"/>
      <c r="BY6" s="170"/>
      <c r="BZ6" s="170"/>
      <c r="CA6" s="170"/>
      <c r="CB6" s="170"/>
      <c r="CC6" s="170"/>
      <c r="CD6" s="170"/>
      <c r="CE6" s="170"/>
      <c r="CF6" s="170"/>
      <c r="CG6" s="170"/>
      <c r="CH6" s="170"/>
      <c r="CI6" s="190"/>
      <c r="CJ6" s="191" t="s">
        <v>1258</v>
      </c>
      <c r="CK6" s="192" t="s">
        <v>1259</v>
      </c>
      <c r="CL6" s="197" t="s">
        <v>1161</v>
      </c>
      <c r="CM6" s="198" t="s">
        <v>1161</v>
      </c>
      <c r="CN6" s="198" t="s">
        <v>1253</v>
      </c>
      <c r="CO6" s="198"/>
      <c r="CP6" s="198" t="s">
        <v>1255</v>
      </c>
      <c r="CQ6" s="198"/>
      <c r="CR6" s="198" t="s">
        <v>1542</v>
      </c>
      <c r="CS6" s="198"/>
      <c r="CT6" s="198" t="s">
        <v>1543</v>
      </c>
      <c r="CU6" s="198"/>
      <c r="CV6" s="198" t="s">
        <v>1256</v>
      </c>
      <c r="CW6" s="198" t="s">
        <v>1257</v>
      </c>
      <c r="CX6" s="199" t="s">
        <v>1316</v>
      </c>
      <c r="CY6" s="170">
        <v>25</v>
      </c>
      <c r="CZ6" s="170" t="s">
        <v>1553</v>
      </c>
      <c r="DA6" s="170"/>
      <c r="DB6" s="170" t="s">
        <v>1563</v>
      </c>
      <c r="DK6" s="135">
        <f t="shared" ref="DK6:DK19" si="2">IFERROR(VLOOKUP(B18,$T$7:$U$18,2,FALSE),0)</f>
        <v>0</v>
      </c>
      <c r="DL6" s="135">
        <f t="shared" ref="DL6:DL19" si="3">IF(D18="F125 Dagactiviteit LZA","Minuten",0)</f>
        <v>0</v>
      </c>
      <c r="DM6" s="135">
        <f>IF(DL6="minuten",DL6,DK6)</f>
        <v>0</v>
      </c>
      <c r="DO6" s="135" t="s">
        <v>2647</v>
      </c>
      <c r="DR6" s="135" t="s">
        <v>2649</v>
      </c>
      <c r="DS6" s="135" t="s">
        <v>2688</v>
      </c>
      <c r="DU6" s="181" t="s">
        <v>1265</v>
      </c>
      <c r="DV6" s="182" t="s">
        <v>1278</v>
      </c>
      <c r="DW6" s="135" t="s">
        <v>1598</v>
      </c>
      <c r="DX6" s="135">
        <v>0</v>
      </c>
      <c r="DY6" s="200">
        <v>12.5</v>
      </c>
      <c r="EA6" s="135" t="s">
        <v>2744</v>
      </c>
      <c r="EB6" s="135">
        <f>IFERROR(IF(DT2="ja",VLOOKUP($G$10,$DU$2:$DY$35,4,FALSE),VLOOKUP($G$10,$DU$36:$DY$83,4,FALSE)),0)</f>
        <v>0</v>
      </c>
      <c r="EN6" s="189" t="s">
        <v>1564</v>
      </c>
      <c r="EO6" s="189" t="s">
        <v>1564</v>
      </c>
      <c r="EP6" s="168"/>
      <c r="EQ6" s="168"/>
      <c r="ER6" s="135" t="s">
        <v>2994</v>
      </c>
      <c r="ET6" s="135" t="s">
        <v>2815</v>
      </c>
      <c r="EU6" s="135" t="s">
        <v>2927</v>
      </c>
      <c r="EY6" s="135" t="s">
        <v>2660</v>
      </c>
      <c r="EZ6" s="135" t="s">
        <v>2816</v>
      </c>
      <c r="FA6" s="135" t="s">
        <v>3360</v>
      </c>
      <c r="FB6" s="135" t="str">
        <f t="shared" si="0"/>
        <v>5vvOpname</v>
      </c>
      <c r="FC6" s="156">
        <f>VLOOKUP(EZ6,'Tarieven ZZP'!$D$6:$J$134,7,FALSE)</f>
        <v>250.05</v>
      </c>
      <c r="FD6" s="156">
        <f t="shared" si="1"/>
        <v>1750.3500000000001</v>
      </c>
      <c r="FI6" s="181" t="s">
        <v>1268</v>
      </c>
      <c r="FJ6" s="135">
        <v>2</v>
      </c>
    </row>
    <row r="7" spans="1:166" ht="19.5" customHeight="1" thickBot="1" x14ac:dyDescent="0.35">
      <c r="A7" s="302"/>
      <c r="B7" s="335"/>
      <c r="C7" s="335"/>
      <c r="D7" s="335"/>
      <c r="E7" s="302"/>
      <c r="F7" s="302"/>
      <c r="G7" s="303"/>
      <c r="H7" s="303"/>
      <c r="I7" s="302"/>
      <c r="J7" s="302"/>
      <c r="K7" s="302"/>
      <c r="L7" s="302"/>
      <c r="M7" s="317"/>
      <c r="N7" s="302"/>
      <c r="O7" s="302"/>
      <c r="P7" s="302"/>
      <c r="Q7" s="302"/>
      <c r="R7" s="302"/>
      <c r="S7" s="302"/>
      <c r="T7" s="201" t="s">
        <v>1542</v>
      </c>
      <c r="U7" s="202" t="s">
        <v>1565</v>
      </c>
      <c r="V7" s="203" t="s">
        <v>1423</v>
      </c>
      <c r="W7" s="204" t="s">
        <v>1424</v>
      </c>
      <c r="X7" s="204" t="s">
        <v>1426</v>
      </c>
      <c r="Y7" s="204" t="s">
        <v>1422</v>
      </c>
      <c r="Z7" s="204" t="s">
        <v>1421</v>
      </c>
      <c r="AA7" s="205" t="s">
        <v>1425</v>
      </c>
      <c r="AB7" s="137">
        <v>0.7</v>
      </c>
      <c r="AC7" s="138" t="s">
        <v>1295</v>
      </c>
      <c r="AD7" s="138" t="s">
        <v>1298</v>
      </c>
      <c r="AE7" s="138" t="s">
        <v>1297</v>
      </c>
      <c r="AF7" s="138" t="s">
        <v>1795</v>
      </c>
      <c r="AG7" s="138" t="s">
        <v>1291</v>
      </c>
      <c r="AH7" s="138" t="s">
        <v>1255</v>
      </c>
      <c r="AI7" s="138" t="s">
        <v>1253</v>
      </c>
      <c r="AJ7" s="139" t="s">
        <v>2761</v>
      </c>
      <c r="AK7" s="139" t="s">
        <v>47</v>
      </c>
      <c r="AL7" s="139" t="s">
        <v>3351</v>
      </c>
      <c r="AM7" s="139" t="s">
        <v>1428</v>
      </c>
      <c r="AN7" s="170" t="s">
        <v>1579</v>
      </c>
      <c r="AO7" s="185" t="s">
        <v>1431</v>
      </c>
      <c r="AP7" s="185" t="s">
        <v>1317</v>
      </c>
      <c r="AQ7" s="170" t="s">
        <v>1575</v>
      </c>
      <c r="AR7" s="185" t="s">
        <v>1577</v>
      </c>
      <c r="AS7" s="170" t="s">
        <v>1576</v>
      </c>
      <c r="AT7" s="170" t="s">
        <v>1578</v>
      </c>
      <c r="AU7" s="170"/>
      <c r="AV7" s="170" t="s">
        <v>1431</v>
      </c>
      <c r="AW7" s="170" t="s">
        <v>1587</v>
      </c>
      <c r="AX7" s="165" t="s">
        <v>1667</v>
      </c>
      <c r="AY7" s="135" t="s">
        <v>13</v>
      </c>
      <c r="AZ7" s="206">
        <f>VLOOKUP(AY7,'Tarieven ZIN prestaties'!$B$1:$D$84,2,FALSE)</f>
        <v>11.93</v>
      </c>
      <c r="BA7" s="207"/>
      <c r="BB7" s="173" t="s">
        <v>1592</v>
      </c>
      <c r="BC7" s="208">
        <f ca="1">SUMIF($B$18:$G$31,"Bhind",$I$18:$I$31)</f>
        <v>0</v>
      </c>
      <c r="BD7" s="181" t="s">
        <v>1263</v>
      </c>
      <c r="BE7" s="209">
        <v>860</v>
      </c>
      <c r="BF7" s="182" t="s">
        <v>1278</v>
      </c>
      <c r="BG7" s="210">
        <f>VLOOKUP(BD7,'PGB tarieven'!$A$7:$M$53,13,FALSE)</f>
        <v>30587.608062555199</v>
      </c>
      <c r="BH7" s="211">
        <f>BG7/365*7</f>
        <v>586.61166147366134</v>
      </c>
      <c r="BI7" s="193" t="s">
        <v>1597</v>
      </c>
      <c r="BJ7" s="193" t="e">
        <f>VLOOKUP(G10,BD7:BH54,5,FALSE)</f>
        <v>#N/A</v>
      </c>
      <c r="BK7" s="212" t="s">
        <v>1214</v>
      </c>
      <c r="BL7" s="175">
        <f>VLOOKUP(BK7,'Ruimte behandeling basis MPT'!$A$2:$H$41,8,FALSE)</f>
        <v>0</v>
      </c>
      <c r="BM7" s="176" t="s">
        <v>1724</v>
      </c>
      <c r="BN7" s="195">
        <f>$M$6*25%</f>
        <v>0</v>
      </c>
      <c r="BO7" s="178"/>
      <c r="BP7" s="178"/>
      <c r="BQ7" s="213" t="e">
        <f>BJ7</f>
        <v>#N/A</v>
      </c>
      <c r="BR7" s="179" t="s">
        <v>1608</v>
      </c>
      <c r="BS7" s="179"/>
      <c r="BT7" s="196">
        <f ca="1">I32</f>
        <v>0</v>
      </c>
      <c r="BU7" s="179"/>
      <c r="BV7" s="179"/>
      <c r="BW7" s="179"/>
      <c r="BX7" s="179"/>
      <c r="BY7" s="188" t="s">
        <v>1431</v>
      </c>
      <c r="BZ7" s="188" t="s">
        <v>1615</v>
      </c>
      <c r="CA7" s="188" t="s">
        <v>1317</v>
      </c>
      <c r="CB7" s="214" t="s">
        <v>1616</v>
      </c>
      <c r="CC7" s="188" t="s">
        <v>1617</v>
      </c>
      <c r="CD7" s="214"/>
      <c r="CE7" s="214"/>
      <c r="CF7" s="214"/>
      <c r="CG7" s="214"/>
      <c r="CH7" s="214"/>
      <c r="CI7" s="181" t="s">
        <v>1263</v>
      </c>
      <c r="CJ7" s="209" t="s">
        <v>1633</v>
      </c>
      <c r="CK7" s="215" t="s">
        <v>1244</v>
      </c>
      <c r="CL7" s="216"/>
      <c r="CM7" s="217" t="s">
        <v>1258</v>
      </c>
      <c r="CN7" s="217"/>
      <c r="CO7" s="217"/>
      <c r="CP7" s="217"/>
      <c r="CQ7" s="217"/>
      <c r="CR7" s="217"/>
      <c r="CS7" s="217"/>
      <c r="CT7" s="217"/>
      <c r="CU7" s="217"/>
      <c r="CV7" s="217" t="s">
        <v>1261</v>
      </c>
      <c r="CW7" s="217"/>
      <c r="CZ7" s="135" t="s">
        <v>1627</v>
      </c>
      <c r="DA7" s="135" t="s">
        <v>1628</v>
      </c>
      <c r="DB7" s="135" t="s">
        <v>1626</v>
      </c>
      <c r="DE7" s="135" t="e">
        <f>VLOOKUP(G$10,$CI$7:$CK$54,2,FALSE)</f>
        <v>#N/A</v>
      </c>
      <c r="DH7" s="135" t="str">
        <f>IF(G10="10VV",DG9,DH9)</f>
        <v>Lijst4</v>
      </c>
      <c r="DK7" s="135">
        <f t="shared" si="2"/>
        <v>0</v>
      </c>
      <c r="DL7" s="135">
        <f t="shared" si="3"/>
        <v>0</v>
      </c>
      <c r="DM7" s="135">
        <f t="shared" ref="DM7:DM19" si="4">IF(DL7="minuten",DL7,DK7)</f>
        <v>0</v>
      </c>
      <c r="DO7" s="218" t="s">
        <v>2688</v>
      </c>
      <c r="DP7" s="218" t="s">
        <v>2689</v>
      </c>
      <c r="DQ7" s="218" t="s">
        <v>2690</v>
      </c>
      <c r="DR7" s="135" t="s">
        <v>2650</v>
      </c>
      <c r="DS7" s="135" t="s">
        <v>2688</v>
      </c>
      <c r="DU7" s="181" t="s">
        <v>1266</v>
      </c>
      <c r="DV7" s="182" t="s">
        <v>1278</v>
      </c>
      <c r="DW7" s="135" t="s">
        <v>1598</v>
      </c>
      <c r="DX7" s="135">
        <v>0</v>
      </c>
      <c r="DY7" s="135">
        <v>16</v>
      </c>
      <c r="EK7" s="135" t="s">
        <v>3346</v>
      </c>
      <c r="EN7" s="279" t="s">
        <v>1291</v>
      </c>
      <c r="EO7" s="279" t="s">
        <v>1291</v>
      </c>
      <c r="EP7" s="168"/>
      <c r="EQ7" s="168"/>
      <c r="ER7" s="135" t="s">
        <v>3347</v>
      </c>
      <c r="ET7" s="135" t="s">
        <v>2808</v>
      </c>
      <c r="EU7" s="135" t="s">
        <v>2768</v>
      </c>
      <c r="EY7" s="135" t="s">
        <v>2661</v>
      </c>
      <c r="EZ7" s="135" t="s">
        <v>2817</v>
      </c>
      <c r="FA7" s="135" t="s">
        <v>3360</v>
      </c>
      <c r="FB7" s="135" t="str">
        <f t="shared" si="0"/>
        <v>6vvOpname</v>
      </c>
      <c r="FC7" s="156">
        <f>VLOOKUP(EZ7,'Tarieven ZZP'!$D$6:$J$134,7,FALSE)</f>
        <v>251.14</v>
      </c>
      <c r="FD7" s="156">
        <f t="shared" si="1"/>
        <v>1757.98</v>
      </c>
      <c r="FE7" s="135" t="str">
        <f>CONCATENATE(G10,F5)</f>
        <v/>
      </c>
      <c r="FF7" s="135">
        <f>IFERROR(VLOOKUP(FE7,FB2:FD82,3,FALSE),0)</f>
        <v>0</v>
      </c>
      <c r="FI7" s="181" t="s">
        <v>1269</v>
      </c>
      <c r="FJ7" s="135">
        <v>2</v>
      </c>
    </row>
    <row r="8" spans="1:166" ht="19.5" customHeight="1" thickBot="1" x14ac:dyDescent="0.4">
      <c r="A8" s="302"/>
      <c r="B8" s="334" t="s">
        <v>1695</v>
      </c>
      <c r="C8" s="341"/>
      <c r="D8" s="341"/>
      <c r="E8" s="310"/>
      <c r="F8" s="310"/>
      <c r="G8" s="464"/>
      <c r="H8" s="464"/>
      <c r="I8" s="470" t="s">
        <v>3350</v>
      </c>
      <c r="J8" s="471"/>
      <c r="K8" s="471"/>
      <c r="L8" s="471"/>
      <c r="M8" s="362"/>
      <c r="N8" s="375" t="str">
        <f>IFERROR(IF(F5="MPT",M8/M6,M8/U1)," ")</f>
        <v xml:space="preserve"> </v>
      </c>
      <c r="O8" s="344" t="s">
        <v>3419</v>
      </c>
      <c r="P8" s="284"/>
      <c r="Q8" s="302"/>
      <c r="R8" s="302"/>
      <c r="S8" s="302"/>
      <c r="T8" s="220" t="s">
        <v>1253</v>
      </c>
      <c r="U8" s="221" t="s">
        <v>1565</v>
      </c>
      <c r="V8" s="222" t="s">
        <v>1214</v>
      </c>
      <c r="W8" s="223" t="s">
        <v>1217</v>
      </c>
      <c r="X8" s="224" t="s">
        <v>1263</v>
      </c>
      <c r="Y8" s="224" t="s">
        <v>1238</v>
      </c>
      <c r="Z8" s="224" t="s">
        <v>1198</v>
      </c>
      <c r="AA8" s="225" t="s">
        <v>1209</v>
      </c>
      <c r="AB8" s="140">
        <v>0.9</v>
      </c>
      <c r="AC8" s="141" t="s">
        <v>1670</v>
      </c>
      <c r="AD8" s="135" t="s">
        <v>1638</v>
      </c>
      <c r="AE8" s="142" t="s">
        <v>1667</v>
      </c>
      <c r="AF8" s="143" t="s">
        <v>3365</v>
      </c>
      <c r="AG8" s="144" t="s">
        <v>1799</v>
      </c>
      <c r="AH8" s="135" t="s">
        <v>1644</v>
      </c>
      <c r="AI8" s="135" t="s">
        <v>1648</v>
      </c>
      <c r="AJ8" s="135" t="s">
        <v>2804</v>
      </c>
      <c r="AK8" s="135" t="s">
        <v>2764</v>
      </c>
      <c r="AL8" s="135" t="s">
        <v>1744</v>
      </c>
      <c r="AM8" s="145" t="s">
        <v>1736</v>
      </c>
      <c r="AN8" s="170">
        <v>0</v>
      </c>
      <c r="AO8" s="170" t="s">
        <v>1554</v>
      </c>
      <c r="AP8" s="185" t="s">
        <v>1542</v>
      </c>
      <c r="AQ8" s="170">
        <f>SUMIF($B$18:$B$31,"bgind",$F$18:$F$31)</f>
        <v>0</v>
      </c>
      <c r="AR8" s="170">
        <f>AQ8/60</f>
        <v>0</v>
      </c>
      <c r="AS8" s="170">
        <f>FLOOR(AR8,1)</f>
        <v>0</v>
      </c>
      <c r="AT8" s="170">
        <f>IF(AQ8&gt;0,1,0)</f>
        <v>0</v>
      </c>
      <c r="AU8" s="170">
        <f>IF(AS8+AT8&lt;=1,AT8,AS8)</f>
        <v>0</v>
      </c>
      <c r="AV8" s="170" t="str">
        <f>IFERROR(VLOOKUP(AU8,$AN$8:$AO$33,2,FALSE),"K8")</f>
        <v>Nvt</v>
      </c>
      <c r="AW8" s="170"/>
      <c r="AX8" s="165" t="s">
        <v>1644</v>
      </c>
      <c r="AY8" s="135" t="s">
        <v>26</v>
      </c>
      <c r="AZ8" s="206">
        <f>VLOOKUP(AY8,'Tarieven ZIN prestaties'!$B$1:$D$84,2,FALSE)</f>
        <v>71.48</v>
      </c>
      <c r="BA8" s="207"/>
      <c r="BB8" s="173" t="s">
        <v>1590</v>
      </c>
      <c r="BC8" s="208">
        <f ca="1">SUMIF($B$18:$G$31,"Bhgrp",$I$18:$I$31)</f>
        <v>0</v>
      </c>
      <c r="BD8" s="181" t="s">
        <v>1265</v>
      </c>
      <c r="BE8" s="209">
        <v>862</v>
      </c>
      <c r="BF8" s="182" t="s">
        <v>1278</v>
      </c>
      <c r="BG8" s="210">
        <f>VLOOKUP(BD8,'PGB tarieven'!$A$7:$M$53,13,FALSE)</f>
        <v>37093.608062555199</v>
      </c>
      <c r="BH8" s="211">
        <f t="shared" ref="BH8:BH41" si="5">BG8/365*7</f>
        <v>711.38426421338738</v>
      </c>
      <c r="BI8" s="193"/>
      <c r="BJ8" s="193"/>
      <c r="BK8" s="212" t="s">
        <v>1215</v>
      </c>
      <c r="BL8" s="175">
        <f>VLOOKUP(BK8,'Ruimte behandeling basis MPT'!$A$2:$H$41,8,FALSE)</f>
        <v>0</v>
      </c>
      <c r="BM8" s="226" t="s">
        <v>1697</v>
      </c>
      <c r="BN8" s="195">
        <f>$M$6*25%</f>
        <v>0</v>
      </c>
      <c r="BO8" s="178"/>
      <c r="BP8" s="178"/>
      <c r="BQ8" s="227">
        <f>IFERROR(VLOOKUP(G10,BM16:BQ31,5,FALSE),0)</f>
        <v>0</v>
      </c>
      <c r="BR8" s="179"/>
      <c r="BS8" s="179"/>
      <c r="BT8" s="196">
        <f ca="1">(2+BT6)-BT7</f>
        <v>2</v>
      </c>
      <c r="BU8" s="179"/>
      <c r="BV8" s="179"/>
      <c r="BW8" s="179"/>
      <c r="BX8" s="179"/>
      <c r="BY8" s="214" t="s">
        <v>1614</v>
      </c>
      <c r="BZ8" s="214">
        <v>0.5</v>
      </c>
      <c r="CA8" s="228" t="s">
        <v>1542</v>
      </c>
      <c r="CB8" s="229">
        <v>123.79</v>
      </c>
      <c r="CC8" s="229" t="s">
        <v>486</v>
      </c>
      <c r="CD8" s="214"/>
      <c r="CE8" s="214"/>
      <c r="CF8" s="214"/>
      <c r="CG8" s="214"/>
      <c r="CH8" s="214"/>
      <c r="CI8" s="181" t="s">
        <v>1265</v>
      </c>
      <c r="CJ8" s="209" t="s">
        <v>1633</v>
      </c>
      <c r="CK8" s="215" t="s">
        <v>1244</v>
      </c>
      <c r="CL8" s="230" t="s">
        <v>1263</v>
      </c>
      <c r="CM8" s="231">
        <v>860</v>
      </c>
      <c r="CN8" s="232">
        <v>1497</v>
      </c>
      <c r="CO8" s="232">
        <f>CN8/52</f>
        <v>28.78846153846154</v>
      </c>
      <c r="CP8" s="232">
        <v>1281</v>
      </c>
      <c r="CQ8" s="232">
        <f>CP8/52</f>
        <v>24.634615384615383</v>
      </c>
      <c r="CR8" s="232">
        <v>10907</v>
      </c>
      <c r="CS8" s="232">
        <f>CR8/52</f>
        <v>209.75</v>
      </c>
      <c r="CT8" s="232">
        <v>10974</v>
      </c>
      <c r="CU8" s="232">
        <f>CT8/52</f>
        <v>211.03846153846155</v>
      </c>
      <c r="CV8" s="232">
        <v>3357</v>
      </c>
      <c r="CW8" s="232">
        <v>28016</v>
      </c>
      <c r="CX8" s="233">
        <v>24659</v>
      </c>
      <c r="CY8" s="185" t="s">
        <v>1542</v>
      </c>
      <c r="CZ8" s="170">
        <f>SUMIF($B$18:$B$31,"bgind",$F$18:$F$31)</f>
        <v>0</v>
      </c>
      <c r="DA8" s="170">
        <f>CZ8/60</f>
        <v>0</v>
      </c>
      <c r="DB8" s="135">
        <v>25</v>
      </c>
      <c r="DC8" s="135">
        <f>DA8-DB8</f>
        <v>-25</v>
      </c>
      <c r="DD8" s="135">
        <f t="shared" ref="DD8:DD14" si="6">IF(DC8&gt;0,DC8,0)</f>
        <v>0</v>
      </c>
      <c r="DK8" s="135">
        <f t="shared" si="2"/>
        <v>0</v>
      </c>
      <c r="DL8" s="135">
        <f t="shared" si="3"/>
        <v>0</v>
      </c>
      <c r="DM8" s="135">
        <f t="shared" si="4"/>
        <v>0</v>
      </c>
      <c r="DO8" s="142" t="s">
        <v>1667</v>
      </c>
      <c r="DP8" s="142" t="s">
        <v>1667</v>
      </c>
      <c r="DQ8" s="142" t="s">
        <v>1667</v>
      </c>
      <c r="DR8" s="142" t="s">
        <v>2651</v>
      </c>
      <c r="DS8" s="135" t="s">
        <v>2688</v>
      </c>
      <c r="DU8" s="181" t="s">
        <v>1267</v>
      </c>
      <c r="DV8" s="182" t="s">
        <v>1278</v>
      </c>
      <c r="DW8" s="135" t="s">
        <v>1598</v>
      </c>
      <c r="DX8" s="135">
        <v>0</v>
      </c>
      <c r="DY8" s="200">
        <v>18.5</v>
      </c>
      <c r="EK8" s="135" t="s">
        <v>3349</v>
      </c>
      <c r="EN8" s="219" t="s">
        <v>1795</v>
      </c>
      <c r="EO8" s="219" t="s">
        <v>1795</v>
      </c>
      <c r="EP8" s="168"/>
      <c r="EQ8" s="168"/>
      <c r="ET8" s="135" t="s">
        <v>2816</v>
      </c>
      <c r="EU8" s="135" t="s">
        <v>2928</v>
      </c>
      <c r="EY8" s="135" t="s">
        <v>2662</v>
      </c>
      <c r="EZ8" s="135" t="s">
        <v>2818</v>
      </c>
      <c r="FA8" s="135" t="s">
        <v>3360</v>
      </c>
      <c r="FB8" s="135" t="str">
        <f t="shared" ref="FB8:FB72" si="7">CONCATENATE(EY8,FA8)</f>
        <v>7vvOpname</v>
      </c>
      <c r="FC8" s="156">
        <f>VLOOKUP(EZ8,'Tarieven ZZP'!$D$6:$J$134,7,FALSE)</f>
        <v>293.16000000000003</v>
      </c>
      <c r="FD8" s="156">
        <f t="shared" si="1"/>
        <v>2052.1200000000003</v>
      </c>
      <c r="FI8" s="181" t="s">
        <v>1270</v>
      </c>
      <c r="FJ8" s="135">
        <v>2</v>
      </c>
    </row>
    <row r="9" spans="1:166" ht="19.5" customHeight="1" thickBot="1" x14ac:dyDescent="0.35">
      <c r="A9" s="302"/>
      <c r="B9" s="341"/>
      <c r="C9" s="341"/>
      <c r="D9" s="341"/>
      <c r="E9" s="310"/>
      <c r="F9" s="310"/>
      <c r="G9" s="304"/>
      <c r="H9" s="304"/>
      <c r="I9" s="467"/>
      <c r="J9" s="467"/>
      <c r="K9" s="467"/>
      <c r="L9" s="467"/>
      <c r="M9" s="327" t="s">
        <v>3343</v>
      </c>
      <c r="N9" s="302"/>
      <c r="O9" s="302"/>
      <c r="P9" s="318"/>
      <c r="Q9" s="318"/>
      <c r="R9" s="318"/>
      <c r="S9" s="302"/>
      <c r="T9" s="220" t="s">
        <v>1255</v>
      </c>
      <c r="U9" s="221" t="s">
        <v>1565</v>
      </c>
      <c r="V9" s="383" t="s">
        <v>1215</v>
      </c>
      <c r="W9" s="223" t="s">
        <v>1218</v>
      </c>
      <c r="X9" s="224" t="s">
        <v>1265</v>
      </c>
      <c r="Y9" s="224" t="s">
        <v>1239</v>
      </c>
      <c r="Z9" s="224" t="s">
        <v>1199</v>
      </c>
      <c r="AA9" s="225" t="s">
        <v>1210</v>
      </c>
      <c r="AB9" s="140">
        <v>0.90500000000000003</v>
      </c>
      <c r="AC9" s="141" t="s">
        <v>1659</v>
      </c>
      <c r="AD9" s="135" t="s">
        <v>1639</v>
      </c>
      <c r="AE9" s="142" t="s">
        <v>1665</v>
      </c>
      <c r="AF9" s="143"/>
      <c r="AG9" s="144" t="s">
        <v>1800</v>
      </c>
      <c r="AH9" s="135" t="s">
        <v>1646</v>
      </c>
      <c r="AI9" s="135" t="s">
        <v>1649</v>
      </c>
      <c r="AJ9" s="135" t="s">
        <v>2805</v>
      </c>
      <c r="AK9" s="135" t="s">
        <v>2765</v>
      </c>
      <c r="AL9" s="135" t="s">
        <v>3556</v>
      </c>
      <c r="AM9" s="145" t="s">
        <v>1653</v>
      </c>
      <c r="AN9" s="170">
        <v>1</v>
      </c>
      <c r="AO9" s="170" t="s">
        <v>1546</v>
      </c>
      <c r="AP9" s="185" t="s">
        <v>1253</v>
      </c>
      <c r="AQ9" s="170">
        <f>SUMIF($B$18:$B$31,"PV",$F$18:$F$31)</f>
        <v>0</v>
      </c>
      <c r="AR9" s="170">
        <f>AQ9/60</f>
        <v>0</v>
      </c>
      <c r="AS9" s="170">
        <f>FLOOR(AR9,1)</f>
        <v>0</v>
      </c>
      <c r="AT9" s="170">
        <f>IF(AQ9&gt;0,1,0)</f>
        <v>0</v>
      </c>
      <c r="AU9" s="170">
        <f>IF(AS9+AT9&lt;=1,AT9,AS9)</f>
        <v>0</v>
      </c>
      <c r="AV9" s="170" t="str">
        <f>IFERROR(VLOOKUP(AU9,AN8:AO33,2,FALSE),"k8")</f>
        <v>Nvt</v>
      </c>
      <c r="AW9" s="170"/>
      <c r="AX9" s="165" t="s">
        <v>1646</v>
      </c>
      <c r="AY9" s="135" t="s">
        <v>44</v>
      </c>
      <c r="AZ9" s="206">
        <f>VLOOKUP(AY9,'Tarieven ZIN prestaties'!$B$1:$D$84,2,FALSE)</f>
        <v>89.66</v>
      </c>
      <c r="BA9" s="207"/>
      <c r="BB9" s="173" t="s">
        <v>1591</v>
      </c>
      <c r="BC9" s="208">
        <f ca="1">SUMIF($B$18:$G$31,"logeren",$I$18:$I$31)</f>
        <v>0</v>
      </c>
      <c r="BD9" s="181" t="s">
        <v>1266</v>
      </c>
      <c r="BE9" s="209">
        <v>864</v>
      </c>
      <c r="BF9" s="182" t="s">
        <v>1278</v>
      </c>
      <c r="BG9" s="210">
        <f>VLOOKUP(BD9,'PGB tarieven'!$A$7:$M$53,13,FALSE)</f>
        <v>43559.608062555199</v>
      </c>
      <c r="BH9" s="211">
        <f t="shared" si="5"/>
        <v>835.38974366544221</v>
      </c>
      <c r="BI9" s="193"/>
      <c r="BJ9" s="193"/>
      <c r="BK9" s="212" t="s">
        <v>1216</v>
      </c>
      <c r="BL9" s="175">
        <f>VLOOKUP(BK9,'Ruimte behandeling basis MPT'!$A$2:$H$41,8,FALSE)</f>
        <v>154.19082379073944</v>
      </c>
      <c r="BM9" s="226" t="s">
        <v>1804</v>
      </c>
      <c r="BN9" s="195">
        <f>$M$6*25%</f>
        <v>0</v>
      </c>
      <c r="BO9" s="227" t="e">
        <f>BQ7-BQ8</f>
        <v>#N/A</v>
      </c>
      <c r="BP9" s="178"/>
      <c r="BQ9" s="227"/>
      <c r="BR9" s="179">
        <f ca="1">IF(BT8&gt;=0,1,0)</f>
        <v>1</v>
      </c>
      <c r="BS9" s="179"/>
      <c r="BT9" s="179"/>
      <c r="BU9" s="179"/>
      <c r="BV9" s="179"/>
      <c r="BW9" s="179"/>
      <c r="BX9" s="179"/>
      <c r="BY9" s="214" t="s">
        <v>1546</v>
      </c>
      <c r="BZ9" s="214">
        <v>1</v>
      </c>
      <c r="CA9" s="228" t="s">
        <v>1253</v>
      </c>
      <c r="CB9" s="229">
        <v>81.48</v>
      </c>
      <c r="CC9" s="229" t="s">
        <v>20</v>
      </c>
      <c r="CD9" s="214"/>
      <c r="CE9" s="214"/>
      <c r="CF9" s="214"/>
      <c r="CG9" s="214"/>
      <c r="CH9" s="214"/>
      <c r="CI9" s="181" t="s">
        <v>1266</v>
      </c>
      <c r="CJ9" s="209" t="s">
        <v>1633</v>
      </c>
      <c r="CK9" s="215" t="s">
        <v>1244</v>
      </c>
      <c r="CL9" s="235" t="s">
        <v>1265</v>
      </c>
      <c r="CM9" s="236">
        <v>862</v>
      </c>
      <c r="CN9" s="237">
        <v>1497</v>
      </c>
      <c r="CO9" s="232">
        <f t="shared" ref="CO9:CO55" si="8">CN9/52</f>
        <v>28.78846153846154</v>
      </c>
      <c r="CP9" s="237">
        <v>1281</v>
      </c>
      <c r="CQ9" s="232">
        <f t="shared" ref="CQ9:CQ55" si="9">CP9/52</f>
        <v>24.634615384615383</v>
      </c>
      <c r="CR9" s="237">
        <v>16866</v>
      </c>
      <c r="CS9" s="232">
        <f t="shared" ref="CS9:CS55" si="10">CR9/52</f>
        <v>324.34615384615387</v>
      </c>
      <c r="CT9" s="237">
        <v>10974</v>
      </c>
      <c r="CU9" s="232">
        <f t="shared" ref="CU9:CU55" si="11">CT9/52</f>
        <v>211.03846153846155</v>
      </c>
      <c r="CV9" s="237">
        <v>3357</v>
      </c>
      <c r="CW9" s="237">
        <v>33975</v>
      </c>
      <c r="CX9" s="233">
        <v>30618</v>
      </c>
      <c r="CY9" s="185" t="s">
        <v>1253</v>
      </c>
      <c r="CZ9" s="170">
        <f>SUMIF($B$18:$B$31,"PV",$F$18:$F$31)</f>
        <v>0</v>
      </c>
      <c r="DA9" s="170">
        <f>CZ9/60</f>
        <v>0</v>
      </c>
      <c r="DB9" s="135">
        <v>25</v>
      </c>
      <c r="DC9" s="135">
        <f>DA9-DB9</f>
        <v>-25</v>
      </c>
      <c r="DD9" s="135">
        <f t="shared" si="6"/>
        <v>0</v>
      </c>
      <c r="DE9" s="135">
        <v>1</v>
      </c>
      <c r="DF9" s="135">
        <v>2</v>
      </c>
      <c r="DG9" s="135" t="s">
        <v>3703</v>
      </c>
      <c r="DH9" s="135" t="s">
        <v>3702</v>
      </c>
      <c r="DI9" s="135" t="s">
        <v>1806</v>
      </c>
      <c r="DK9" s="135">
        <f t="shared" si="2"/>
        <v>0</v>
      </c>
      <c r="DL9" s="135">
        <f t="shared" si="3"/>
        <v>0</v>
      </c>
      <c r="DM9" s="135">
        <f t="shared" si="4"/>
        <v>0</v>
      </c>
      <c r="DO9" s="142" t="s">
        <v>1665</v>
      </c>
      <c r="DP9" s="142" t="s">
        <v>1665</v>
      </c>
      <c r="DQ9" s="142" t="s">
        <v>1665</v>
      </c>
      <c r="DR9" s="142" t="s">
        <v>2652</v>
      </c>
      <c r="DS9" s="142" t="s">
        <v>2689</v>
      </c>
      <c r="DU9" s="181" t="s">
        <v>1268</v>
      </c>
      <c r="DV9" s="182" t="s">
        <v>1278</v>
      </c>
      <c r="DW9" s="135" t="s">
        <v>1598</v>
      </c>
      <c r="DX9" s="135">
        <v>0</v>
      </c>
      <c r="DY9" s="135">
        <v>20</v>
      </c>
      <c r="EN9" s="234" t="s">
        <v>1545</v>
      </c>
      <c r="EO9" s="234" t="s">
        <v>1545</v>
      </c>
      <c r="ET9" s="135" t="s">
        <v>2809</v>
      </c>
      <c r="EU9" s="135" t="s">
        <v>2769</v>
      </c>
      <c r="EY9" s="135" t="s">
        <v>2663</v>
      </c>
      <c r="EZ9" s="135" t="s">
        <v>2819</v>
      </c>
      <c r="FA9" s="135" t="s">
        <v>3360</v>
      </c>
      <c r="FB9" s="135" t="str">
        <f t="shared" si="7"/>
        <v>8vvOpname</v>
      </c>
      <c r="FC9" s="156">
        <f>VLOOKUP(EZ9,'Tarieven ZZP'!$D$6:$J$134,7,FALSE)</f>
        <v>331.34</v>
      </c>
      <c r="FD9" s="156">
        <f t="shared" si="1"/>
        <v>2319.3799999999997</v>
      </c>
      <c r="FI9" s="181" t="s">
        <v>1230</v>
      </c>
      <c r="FJ9" s="135">
        <v>1</v>
      </c>
    </row>
    <row r="10" spans="1:166" ht="19.5" customHeight="1" thickBot="1" x14ac:dyDescent="0.35">
      <c r="A10" s="302"/>
      <c r="B10" s="334" t="s">
        <v>1722</v>
      </c>
      <c r="C10" s="341"/>
      <c r="D10" s="341"/>
      <c r="E10" s="310"/>
      <c r="F10" s="310"/>
      <c r="G10" s="464"/>
      <c r="H10" s="464"/>
      <c r="I10" s="311"/>
      <c r="J10" s="302"/>
      <c r="K10" s="302"/>
      <c r="L10" s="302"/>
      <c r="M10" s="328">
        <f>IF(M8&gt;=0,M6-M8,"fout, PGB bedrag")</f>
        <v>0</v>
      </c>
      <c r="N10" s="349"/>
      <c r="O10" s="485" t="str">
        <f>EI1</f>
        <v xml:space="preserve"> </v>
      </c>
      <c r="P10" s="486"/>
      <c r="Q10" s="486"/>
      <c r="R10" s="486"/>
      <c r="S10" s="302"/>
      <c r="T10" s="220" t="s">
        <v>1543</v>
      </c>
      <c r="U10" s="221" t="s">
        <v>1566</v>
      </c>
      <c r="V10" s="383" t="s">
        <v>1216</v>
      </c>
      <c r="W10" s="223" t="s">
        <v>1220</v>
      </c>
      <c r="X10" s="224" t="s">
        <v>1266</v>
      </c>
      <c r="Y10" s="224" t="s">
        <v>1240</v>
      </c>
      <c r="Z10" s="224" t="s">
        <v>1200</v>
      </c>
      <c r="AA10" s="225" t="s">
        <v>1211</v>
      </c>
      <c r="AB10" s="140">
        <v>0.91</v>
      </c>
      <c r="AC10" s="141" t="s">
        <v>1660</v>
      </c>
      <c r="AD10" s="135" t="s">
        <v>1751</v>
      </c>
      <c r="AE10" s="142" t="s">
        <v>1666</v>
      </c>
      <c r="AF10" s="143"/>
      <c r="AG10" s="144" t="s">
        <v>1801</v>
      </c>
      <c r="AH10" s="135" t="s">
        <v>1647</v>
      </c>
      <c r="AI10" s="135" t="s">
        <v>1735</v>
      </c>
      <c r="AJ10" s="135" t="s">
        <v>2806</v>
      </c>
      <c r="AK10" s="135" t="s">
        <v>2766</v>
      </c>
      <c r="AL10" s="135" t="s">
        <v>3557</v>
      </c>
      <c r="AM10" s="145" t="s">
        <v>1737</v>
      </c>
      <c r="AN10" s="170">
        <v>2</v>
      </c>
      <c r="AO10" s="170" t="s">
        <v>1547</v>
      </c>
      <c r="AP10" s="185" t="s">
        <v>1255</v>
      </c>
      <c r="AQ10" s="170">
        <f>SUMIF($B$18:$B$31,"VP",$F$18:$F$31)</f>
        <v>0</v>
      </c>
      <c r="AR10" s="170">
        <f>AQ10/60</f>
        <v>0</v>
      </c>
      <c r="AS10" s="170">
        <f>FLOOR(AR10,1)</f>
        <v>0</v>
      </c>
      <c r="AT10" s="170">
        <f>IF(AQ10&gt;0,1,0)</f>
        <v>0</v>
      </c>
      <c r="AU10" s="170">
        <f>IF(AS10+AT10&lt;=1,AT10,AS10)</f>
        <v>0</v>
      </c>
      <c r="AV10" s="170" t="str">
        <f>IF(IFERROR(VLOOKUP(AU10,AN8:AO33,2,FALSE),"K8")="k8","K7",VLOOKUP(AU10,AN8:AO33,2,FALSE))</f>
        <v>Nvt</v>
      </c>
      <c r="AW10" s="170" t="str">
        <f>IF(AND(AR10&lt;1,AT10=1),"K0",AV10)</f>
        <v>Nvt</v>
      </c>
      <c r="AX10" s="165" t="s">
        <v>1647</v>
      </c>
      <c r="AY10" s="135" t="s">
        <v>28</v>
      </c>
      <c r="AZ10" s="206">
        <f>VLOOKUP(AY10,'Tarieven ZIN prestaties'!$B$1:$D$84,2,FALSE)</f>
        <v>71.48</v>
      </c>
      <c r="BA10" s="207"/>
      <c r="BB10" s="173"/>
      <c r="BC10" s="208"/>
      <c r="BD10" s="181" t="s">
        <v>1267</v>
      </c>
      <c r="BE10" s="209">
        <v>766</v>
      </c>
      <c r="BF10" s="182" t="s">
        <v>1278</v>
      </c>
      <c r="BG10" s="210">
        <f>VLOOKUP(BD10,'PGB tarieven'!$A$7:$M$53,13,FALSE)</f>
        <v>47234.608062555199</v>
      </c>
      <c r="BH10" s="211">
        <f t="shared" si="5"/>
        <v>905.8691957202368</v>
      </c>
      <c r="BI10" s="193"/>
      <c r="BJ10" s="193"/>
      <c r="BK10" s="212" t="s">
        <v>1217</v>
      </c>
      <c r="BL10" s="175">
        <f>VLOOKUP(BK10,'Ruimte behandeling basis MPT'!$A$2:$H$41,8,FALSE)</f>
        <v>158.34000000000003</v>
      </c>
      <c r="BM10" s="176" t="s">
        <v>1598</v>
      </c>
      <c r="BN10" s="195">
        <v>0</v>
      </c>
      <c r="BO10" s="178"/>
      <c r="BP10" s="178"/>
      <c r="BQ10" s="227" t="e">
        <f>IF(BQ7=BQ8,BQ7,SUM(BQ6:BQ9))</f>
        <v>#N/A</v>
      </c>
      <c r="BR10" s="179"/>
      <c r="BS10" s="179"/>
      <c r="BT10" s="179"/>
      <c r="BU10" s="179"/>
      <c r="BV10" s="179"/>
      <c r="BW10" s="179"/>
      <c r="BX10" s="179"/>
      <c r="BY10" s="214" t="s">
        <v>1547</v>
      </c>
      <c r="BZ10" s="214">
        <v>3</v>
      </c>
      <c r="CA10" s="228" t="s">
        <v>1255</v>
      </c>
      <c r="CB10" s="229">
        <v>82.37</v>
      </c>
      <c r="CC10" s="229" t="s">
        <v>44</v>
      </c>
      <c r="CD10" s="214"/>
      <c r="CE10" s="214"/>
      <c r="CF10" s="214"/>
      <c r="CG10" s="214"/>
      <c r="CH10" s="214"/>
      <c r="CI10" s="181" t="s">
        <v>1267</v>
      </c>
      <c r="CJ10" s="209" t="s">
        <v>1633</v>
      </c>
      <c r="CK10" s="215" t="s">
        <v>1244</v>
      </c>
      <c r="CL10" s="230" t="s">
        <v>1266</v>
      </c>
      <c r="CM10" s="231">
        <v>864</v>
      </c>
      <c r="CN10" s="232">
        <v>1497</v>
      </c>
      <c r="CO10" s="232">
        <f t="shared" si="8"/>
        <v>28.78846153846154</v>
      </c>
      <c r="CP10" s="232">
        <v>1281</v>
      </c>
      <c r="CQ10" s="232">
        <f t="shared" si="9"/>
        <v>24.634615384615383</v>
      </c>
      <c r="CR10" s="232">
        <v>22788</v>
      </c>
      <c r="CS10" s="232">
        <f t="shared" si="10"/>
        <v>438.23076923076923</v>
      </c>
      <c r="CT10" s="232">
        <v>10974</v>
      </c>
      <c r="CU10" s="232">
        <f t="shared" si="11"/>
        <v>211.03846153846155</v>
      </c>
      <c r="CV10" s="232">
        <v>3357</v>
      </c>
      <c r="CW10" s="232">
        <v>39897</v>
      </c>
      <c r="CX10" s="233">
        <v>36540</v>
      </c>
      <c r="CY10" s="185" t="s">
        <v>1255</v>
      </c>
      <c r="CZ10" s="170">
        <f>SUMIF($B$18:$B$31,"VP",$F$18:$F$31)</f>
        <v>0</v>
      </c>
      <c r="DA10" s="170">
        <f>CZ10/60</f>
        <v>0</v>
      </c>
      <c r="DB10" s="135">
        <v>20</v>
      </c>
      <c r="DC10" s="135">
        <f>DA10-DB10</f>
        <v>-20</v>
      </c>
      <c r="DD10" s="135">
        <f t="shared" si="6"/>
        <v>0</v>
      </c>
      <c r="DE10" s="135" t="s">
        <v>1631</v>
      </c>
      <c r="DF10" s="135" t="s">
        <v>1554</v>
      </c>
      <c r="DK10" s="135">
        <f t="shared" si="2"/>
        <v>0</v>
      </c>
      <c r="DL10" s="135">
        <f t="shared" si="3"/>
        <v>0</v>
      </c>
      <c r="DM10" s="135">
        <f t="shared" si="4"/>
        <v>0</v>
      </c>
      <c r="DO10" s="142" t="s">
        <v>1666</v>
      </c>
      <c r="DP10" s="142" t="s">
        <v>1666</v>
      </c>
      <c r="DQ10" s="142" t="s">
        <v>1666</v>
      </c>
      <c r="DR10" s="142" t="s">
        <v>2653</v>
      </c>
      <c r="DS10" s="142" t="s">
        <v>2689</v>
      </c>
      <c r="DU10" s="181" t="s">
        <v>1269</v>
      </c>
      <c r="DV10" s="182" t="s">
        <v>1278</v>
      </c>
      <c r="DW10" s="135" t="s">
        <v>1598</v>
      </c>
      <c r="DX10" s="135">
        <v>0</v>
      </c>
      <c r="DY10" s="200">
        <v>27</v>
      </c>
      <c r="EK10" s="135">
        <f>IFERROR(VLOOKUP(G10,FI2:FJ49,2,FALSE),0)</f>
        <v>0</v>
      </c>
      <c r="EP10" s="135" t="s">
        <v>2764</v>
      </c>
      <c r="ET10" s="135" t="s">
        <v>2817</v>
      </c>
      <c r="EU10" s="135" t="s">
        <v>2929</v>
      </c>
      <c r="EY10" s="135" t="s">
        <v>1596</v>
      </c>
      <c r="EZ10" s="135" t="s">
        <v>2820</v>
      </c>
      <c r="FA10" s="135" t="s">
        <v>3360</v>
      </c>
      <c r="FB10" s="135" t="str">
        <f t="shared" si="7"/>
        <v>9vvbOpname</v>
      </c>
      <c r="FC10" s="156">
        <f>VLOOKUP(EZ10,'Tarieven ZZP'!$D$6:$J$134,7,FALSE)</f>
        <v>300.63</v>
      </c>
      <c r="FD10" s="156">
        <f t="shared" si="1"/>
        <v>2104.41</v>
      </c>
      <c r="FI10" s="181" t="s">
        <v>1231</v>
      </c>
      <c r="FJ10" s="135">
        <v>1</v>
      </c>
    </row>
    <row r="11" spans="1:166" ht="19.5" customHeight="1" thickBot="1" x14ac:dyDescent="0.35">
      <c r="A11" s="302"/>
      <c r="B11" s="335"/>
      <c r="C11" s="335"/>
      <c r="D11" s="335"/>
      <c r="E11" s="302"/>
      <c r="F11" s="302"/>
      <c r="G11" s="303"/>
      <c r="H11" s="303"/>
      <c r="I11" s="302"/>
      <c r="J11" s="302"/>
      <c r="K11" s="302"/>
      <c r="L11" s="302"/>
      <c r="M11" s="316" t="s">
        <v>1622</v>
      </c>
      <c r="N11" s="306"/>
      <c r="O11" s="486"/>
      <c r="P11" s="486"/>
      <c r="Q11" s="486"/>
      <c r="R11" s="486"/>
      <c r="S11" s="302"/>
      <c r="T11" s="220" t="s">
        <v>3351</v>
      </c>
      <c r="U11" s="221" t="s">
        <v>3352</v>
      </c>
      <c r="V11" s="383" t="s">
        <v>1217</v>
      </c>
      <c r="W11" s="223" t="s">
        <v>1222</v>
      </c>
      <c r="X11" s="224" t="s">
        <v>1267</v>
      </c>
      <c r="Y11" s="224" t="s">
        <v>1241</v>
      </c>
      <c r="Z11" s="224" t="s">
        <v>1201</v>
      </c>
      <c r="AA11" s="225" t="s">
        <v>1212</v>
      </c>
      <c r="AB11" s="140">
        <v>0.91500000000000004</v>
      </c>
      <c r="AC11" s="141" t="s">
        <v>1661</v>
      </c>
      <c r="AD11" s="135" t="s">
        <v>1635</v>
      </c>
      <c r="AE11" s="142" t="s">
        <v>1741</v>
      </c>
      <c r="AF11" s="143"/>
      <c r="AG11" s="144" t="s">
        <v>1802</v>
      </c>
      <c r="AH11" s="135" t="s">
        <v>1645</v>
      </c>
      <c r="AI11" s="135" t="s">
        <v>1650</v>
      </c>
      <c r="AJ11" s="135" t="s">
        <v>2807</v>
      </c>
      <c r="AK11" s="135" t="s">
        <v>2767</v>
      </c>
      <c r="AL11" s="135" t="s">
        <v>3558</v>
      </c>
      <c r="AM11" s="145" t="s">
        <v>1652</v>
      </c>
      <c r="AN11" s="170">
        <v>3</v>
      </c>
      <c r="AO11" s="170" t="s">
        <v>1547</v>
      </c>
      <c r="AP11" s="185" t="s">
        <v>1545</v>
      </c>
      <c r="AQ11" s="170">
        <f>SUMIF($B$18:$B$31,"bhind",$F$18:$F$31)</f>
        <v>0</v>
      </c>
      <c r="AR11" s="170">
        <f>AQ11/60</f>
        <v>0</v>
      </c>
      <c r="AS11" s="170">
        <f>FLOOR(AR11,1)</f>
        <v>0</v>
      </c>
      <c r="AT11" s="170">
        <f>IF(AQ11&gt;0,1,0)</f>
        <v>0</v>
      </c>
      <c r="AU11" s="170">
        <f>IF(AS11+AT11&lt;=1,AT11,AS11)</f>
        <v>0</v>
      </c>
      <c r="AV11" s="239" t="str">
        <f>IF(AU11&gt;0,99,"Nvt")</f>
        <v>Nvt</v>
      </c>
      <c r="AW11" s="170"/>
      <c r="AX11" s="240" t="s">
        <v>1796</v>
      </c>
      <c r="AY11" s="144" t="s">
        <v>1797</v>
      </c>
      <c r="AZ11" s="206">
        <f>VLOOKUP(AY11,'Tarieven ZIN prestaties'!$B$1:$D$84,2,FALSE)</f>
        <v>32.39</v>
      </c>
      <c r="BA11" s="207"/>
      <c r="BB11" s="173" t="s">
        <v>1593</v>
      </c>
      <c r="BC11" s="208">
        <f ca="1">SUM(BC7:BC8)</f>
        <v>0</v>
      </c>
      <c r="BD11" s="181" t="s">
        <v>1268</v>
      </c>
      <c r="BE11" s="209">
        <v>768</v>
      </c>
      <c r="BF11" s="182" t="s">
        <v>1278</v>
      </c>
      <c r="BG11" s="210">
        <f>VLOOKUP(BD11,'PGB tarieven'!$A$7:$M$53,13,FALSE)</f>
        <v>52629</v>
      </c>
      <c r="BH11" s="211">
        <f t="shared" si="5"/>
        <v>1009.3232876712329</v>
      </c>
      <c r="BI11" s="193"/>
      <c r="BJ11" s="193"/>
      <c r="BK11" s="212" t="s">
        <v>1218</v>
      </c>
      <c r="BL11" s="175">
        <f>VLOOKUP(BK11,'Ruimte behandeling basis MPT'!$A$2:$H$41,8,FALSE)</f>
        <v>170.80000000000004</v>
      </c>
      <c r="BM11" s="135">
        <f>IF(R21="ja",BN6,BN10)</f>
        <v>0</v>
      </c>
      <c r="BN11" s="135">
        <f>IFERROR(VLOOKUP(Q22,BM5:BN10,2,0),0)</f>
        <v>0</v>
      </c>
      <c r="BQ11" s="156" t="e">
        <f>SUM(BQ7:BQ9)</f>
        <v>#N/A</v>
      </c>
      <c r="BR11" s="179" t="s">
        <v>1609</v>
      </c>
      <c r="BS11" s="179"/>
      <c r="BT11" s="196">
        <f>T19</f>
        <v>0</v>
      </c>
      <c r="BU11" s="179"/>
      <c r="BV11" s="179" t="s">
        <v>1730</v>
      </c>
      <c r="BW11" s="241">
        <v>0</v>
      </c>
      <c r="BX11" s="179"/>
      <c r="BY11" s="214" t="s">
        <v>1548</v>
      </c>
      <c r="BZ11" s="214">
        <v>5.5</v>
      </c>
      <c r="CA11" s="228" t="s">
        <v>1545</v>
      </c>
      <c r="CB11" s="229">
        <v>155.15</v>
      </c>
      <c r="CC11" s="229" t="s">
        <v>421</v>
      </c>
      <c r="CD11" s="214"/>
      <c r="CE11" s="214"/>
      <c r="CF11" s="214"/>
      <c r="CG11" s="242"/>
      <c r="CH11" s="214"/>
      <c r="CI11" s="181" t="s">
        <v>1268</v>
      </c>
      <c r="CJ11" s="209" t="s">
        <v>1633</v>
      </c>
      <c r="CK11" s="215" t="s">
        <v>1244</v>
      </c>
      <c r="CL11" s="235" t="s">
        <v>1267</v>
      </c>
      <c r="CM11" s="236">
        <v>766</v>
      </c>
      <c r="CN11" s="237">
        <v>8220</v>
      </c>
      <c r="CO11" s="232">
        <f t="shared" si="8"/>
        <v>158.07692307692307</v>
      </c>
      <c r="CP11" s="237">
        <v>3845</v>
      </c>
      <c r="CQ11" s="232">
        <f t="shared" si="9"/>
        <v>73.942307692307693</v>
      </c>
      <c r="CR11" s="237">
        <v>16866</v>
      </c>
      <c r="CS11" s="232">
        <f t="shared" si="10"/>
        <v>324.34615384615387</v>
      </c>
      <c r="CT11" s="237">
        <v>10974</v>
      </c>
      <c r="CU11" s="232">
        <f t="shared" si="11"/>
        <v>211.03846153846155</v>
      </c>
      <c r="CV11" s="237">
        <v>3357</v>
      </c>
      <c r="CW11" s="237">
        <v>43262</v>
      </c>
      <c r="CX11" s="233">
        <v>39905</v>
      </c>
      <c r="CY11" s="185" t="s">
        <v>1545</v>
      </c>
      <c r="CZ11" s="170">
        <f>SUMIF($B$18:$B$31,"bhind",$F$18:$F$31)</f>
        <v>0</v>
      </c>
      <c r="DA11" s="170">
        <f>CZ11/60</f>
        <v>0</v>
      </c>
      <c r="DB11" s="243" t="s">
        <v>1244</v>
      </c>
      <c r="DC11" s="135">
        <f>IFERROR(DA11-DB11,0)</f>
        <v>0</v>
      </c>
      <c r="DD11" s="135">
        <f t="shared" si="6"/>
        <v>0</v>
      </c>
      <c r="DE11" s="135" t="s">
        <v>1598</v>
      </c>
      <c r="DG11" s="135" t="s">
        <v>1723</v>
      </c>
      <c r="DH11" s="135" t="s">
        <v>1723</v>
      </c>
      <c r="DI11" s="135" t="s">
        <v>1807</v>
      </c>
      <c r="DK11" s="135">
        <f t="shared" si="2"/>
        <v>0</v>
      </c>
      <c r="DL11" s="135">
        <f t="shared" si="3"/>
        <v>0</v>
      </c>
      <c r="DM11" s="135">
        <f t="shared" si="4"/>
        <v>0</v>
      </c>
      <c r="DN11" s="136"/>
      <c r="DO11" s="142" t="s">
        <v>1741</v>
      </c>
      <c r="DP11" s="142" t="s">
        <v>1741</v>
      </c>
      <c r="DQ11" s="142" t="s">
        <v>1741</v>
      </c>
      <c r="DR11" s="142" t="s">
        <v>2654</v>
      </c>
      <c r="DS11" s="142" t="s">
        <v>2690</v>
      </c>
      <c r="DU11" s="181" t="s">
        <v>1270</v>
      </c>
      <c r="DV11" s="182" t="s">
        <v>1278</v>
      </c>
      <c r="DW11" s="135" t="s">
        <v>1598</v>
      </c>
      <c r="DX11" s="136">
        <v>0</v>
      </c>
      <c r="DY11" s="136">
        <v>33</v>
      </c>
      <c r="EK11" s="135">
        <f>IF(F5="opname",6,IF(F5="VPT",10,0))</f>
        <v>0</v>
      </c>
      <c r="EP11" s="135" t="s">
        <v>2765</v>
      </c>
      <c r="ET11" s="135" t="s">
        <v>2810</v>
      </c>
      <c r="EU11" s="135" t="s">
        <v>2770</v>
      </c>
      <c r="EY11" s="135" t="s">
        <v>2665</v>
      </c>
      <c r="EZ11" s="135" t="s">
        <v>2821</v>
      </c>
      <c r="FA11" s="135" t="s">
        <v>3360</v>
      </c>
      <c r="FB11" s="135" t="str">
        <f t="shared" si="7"/>
        <v>10vvOpname</v>
      </c>
      <c r="FC11" s="156">
        <f>VLOOKUP(EZ11,'Tarieven ZZP'!$D$6:$J$134,7,FALSE)</f>
        <v>354.15</v>
      </c>
      <c r="FD11" s="156">
        <f t="shared" si="1"/>
        <v>2479.0499999999997</v>
      </c>
      <c r="FI11" s="181" t="s">
        <v>1232</v>
      </c>
      <c r="FJ11" s="135">
        <v>1</v>
      </c>
    </row>
    <row r="12" spans="1:166" ht="19.5" customHeight="1" thickBot="1" x14ac:dyDescent="0.4">
      <c r="A12" s="302"/>
      <c r="B12" s="342" t="s">
        <v>1693</v>
      </c>
      <c r="C12" s="335"/>
      <c r="D12" s="335"/>
      <c r="E12" s="302"/>
      <c r="F12" s="302"/>
      <c r="G12" s="466"/>
      <c r="H12" s="466"/>
      <c r="I12" s="302"/>
      <c r="J12" s="302"/>
      <c r="K12" s="302"/>
      <c r="L12" s="302"/>
      <c r="M12" s="329">
        <f>IF(OR(Q22="",Q22="Nee",BM12&lt;0),0,BM12)</f>
        <v>0</v>
      </c>
      <c r="N12" s="316"/>
      <c r="O12" s="484" t="s">
        <v>2715</v>
      </c>
      <c r="P12" s="484"/>
      <c r="Q12" s="484"/>
      <c r="R12" s="484"/>
      <c r="S12" s="484"/>
      <c r="T12" s="220" t="s">
        <v>1564</v>
      </c>
      <c r="U12" s="221" t="s">
        <v>1566</v>
      </c>
      <c r="V12" s="222" t="s">
        <v>1219</v>
      </c>
      <c r="W12" s="223" t="s">
        <v>1223</v>
      </c>
      <c r="X12" s="224" t="s">
        <v>1268</v>
      </c>
      <c r="Y12" s="224" t="s">
        <v>1242</v>
      </c>
      <c r="Z12" s="224" t="s">
        <v>1202</v>
      </c>
      <c r="AA12" s="225" t="s">
        <v>1213</v>
      </c>
      <c r="AB12" s="140">
        <v>0.92</v>
      </c>
      <c r="AC12" s="141" t="s">
        <v>1662</v>
      </c>
      <c r="AD12" s="135" t="s">
        <v>1636</v>
      </c>
      <c r="AE12" s="142" t="s">
        <v>1742</v>
      </c>
      <c r="AF12" s="143"/>
      <c r="AG12" s="144" t="s">
        <v>1803</v>
      </c>
      <c r="AH12" s="146"/>
      <c r="AI12" s="135" t="s">
        <v>1651</v>
      </c>
      <c r="AJ12" s="135" t="s">
        <v>2808</v>
      </c>
      <c r="AK12" s="135" t="s">
        <v>2768</v>
      </c>
      <c r="AL12" s="135" t="s">
        <v>3559</v>
      </c>
      <c r="AM12" s="145" t="s">
        <v>1654</v>
      </c>
      <c r="AN12" s="170">
        <v>4</v>
      </c>
      <c r="AO12" s="170" t="s">
        <v>1548</v>
      </c>
      <c r="AP12" s="185" t="s">
        <v>1543</v>
      </c>
      <c r="AQ12" s="170">
        <f>AV16+AV19</f>
        <v>0</v>
      </c>
      <c r="AR12" s="185" t="s">
        <v>1244</v>
      </c>
      <c r="AS12" s="170">
        <f>AQ12</f>
        <v>0</v>
      </c>
      <c r="AT12" s="170" t="s">
        <v>1244</v>
      </c>
      <c r="AU12" s="170">
        <f>IF(AS12&lt;=9,AS12,9)</f>
        <v>0</v>
      </c>
      <c r="AV12" s="170" t="str">
        <f>VLOOKUP(AU12,AP16:AQ25,2,FALSE)</f>
        <v>Nvt</v>
      </c>
      <c r="AW12" s="170"/>
      <c r="AX12" s="165" t="s">
        <v>1649</v>
      </c>
      <c r="AY12" s="135" t="s">
        <v>34</v>
      </c>
      <c r="AZ12" s="206">
        <f>VLOOKUP(AY12,'Tarieven ZIN prestaties'!$B$1:$D$84,2,FALSE)</f>
        <v>71.48</v>
      </c>
      <c r="BA12" s="207"/>
      <c r="BB12" s="173"/>
      <c r="BC12" s="173"/>
      <c r="BD12" s="181" t="s">
        <v>1269</v>
      </c>
      <c r="BE12" s="209">
        <v>770</v>
      </c>
      <c r="BF12" s="182" t="s">
        <v>1278</v>
      </c>
      <c r="BG12" s="210">
        <f>VLOOKUP(BD12,'PGB tarieven'!$A$7:$M$53,13,FALSE)</f>
        <v>62801.608062555199</v>
      </c>
      <c r="BH12" s="211">
        <f t="shared" si="5"/>
        <v>1204.4144011996887</v>
      </c>
      <c r="BI12" s="193"/>
      <c r="BJ12" s="193"/>
      <c r="BK12" s="212" t="s">
        <v>1219</v>
      </c>
      <c r="BL12" s="175">
        <f>VLOOKUP(BK12,'Ruimte behandeling basis MPT'!$A$2:$H$41,8,FALSE)</f>
        <v>170.7300000000001</v>
      </c>
      <c r="BM12" s="156">
        <f>BN11-BM15</f>
        <v>0</v>
      </c>
      <c r="BN12" s="135" t="s">
        <v>1689</v>
      </c>
      <c r="BO12" s="135">
        <v>211.42</v>
      </c>
      <c r="BP12" s="135">
        <f>BO12*7</f>
        <v>1479.9399999999998</v>
      </c>
      <c r="BR12" s="179" t="s">
        <v>1610</v>
      </c>
      <c r="BS12" s="179"/>
      <c r="BT12" s="196">
        <f ca="1">I33</f>
        <v>0</v>
      </c>
      <c r="BU12" s="179"/>
      <c r="BV12" s="179" t="s">
        <v>1731</v>
      </c>
      <c r="BW12" s="196">
        <f>BW11/365*7</f>
        <v>0</v>
      </c>
      <c r="BX12" s="179"/>
      <c r="BY12" s="214" t="s">
        <v>1549</v>
      </c>
      <c r="BZ12" s="214">
        <v>8.5</v>
      </c>
      <c r="CA12" s="228" t="s">
        <v>1543</v>
      </c>
      <c r="CB12" s="229">
        <v>147.47</v>
      </c>
      <c r="CC12" s="228" t="s">
        <v>401</v>
      </c>
      <c r="CD12" s="214"/>
      <c r="CE12" s="214"/>
      <c r="CF12" s="214"/>
      <c r="CG12" s="214"/>
      <c r="CH12" s="214"/>
      <c r="CI12" s="181" t="s">
        <v>1269</v>
      </c>
      <c r="CJ12" s="209" t="s">
        <v>1633</v>
      </c>
      <c r="CK12" s="215" t="s">
        <v>1244</v>
      </c>
      <c r="CL12" s="230" t="s">
        <v>1268</v>
      </c>
      <c r="CM12" s="231">
        <v>768</v>
      </c>
      <c r="CN12" s="232">
        <v>4491</v>
      </c>
      <c r="CO12" s="232">
        <f t="shared" si="8"/>
        <v>86.365384615384613</v>
      </c>
      <c r="CP12" s="232">
        <v>3845</v>
      </c>
      <c r="CQ12" s="232">
        <f t="shared" si="9"/>
        <v>73.942307692307693</v>
      </c>
      <c r="CR12" s="232">
        <v>22788</v>
      </c>
      <c r="CS12" s="232">
        <f t="shared" si="10"/>
        <v>438.23076923076923</v>
      </c>
      <c r="CT12" s="232">
        <v>13721</v>
      </c>
      <c r="CU12" s="232">
        <f t="shared" si="11"/>
        <v>263.86538461538464</v>
      </c>
      <c r="CV12" s="232">
        <v>3357</v>
      </c>
      <c r="CW12" s="232">
        <v>48202</v>
      </c>
      <c r="CX12" s="233">
        <v>44845</v>
      </c>
      <c r="CY12" s="185" t="s">
        <v>1543</v>
      </c>
      <c r="CZ12" s="170">
        <f>DA19+CZ20</f>
        <v>0</v>
      </c>
      <c r="DA12" s="246">
        <f>CEILING(CZ12,1)</f>
        <v>0</v>
      </c>
      <c r="DB12" s="135">
        <v>9</v>
      </c>
      <c r="DC12" s="135">
        <f>DA12-DB12</f>
        <v>-9</v>
      </c>
      <c r="DD12" s="135">
        <f t="shared" si="6"/>
        <v>0</v>
      </c>
      <c r="DG12" s="135" t="s">
        <v>1724</v>
      </c>
      <c r="DH12" s="135" t="s">
        <v>1724</v>
      </c>
      <c r="DI12" s="136" t="s">
        <v>1808</v>
      </c>
      <c r="DJ12" s="136"/>
      <c r="DK12" s="135">
        <f t="shared" si="2"/>
        <v>0</v>
      </c>
      <c r="DL12" s="135">
        <f t="shared" si="3"/>
        <v>0</v>
      </c>
      <c r="DM12" s="135">
        <f t="shared" si="4"/>
        <v>0</v>
      </c>
      <c r="DO12" s="142" t="s">
        <v>1742</v>
      </c>
      <c r="DP12" s="142" t="s">
        <v>1742</v>
      </c>
      <c r="DQ12" s="142" t="s">
        <v>1742</v>
      </c>
      <c r="DR12" s="142" t="s">
        <v>2655</v>
      </c>
      <c r="DS12" s="142" t="s">
        <v>2689</v>
      </c>
      <c r="DU12" s="181" t="s">
        <v>1230</v>
      </c>
      <c r="DV12" s="182" t="s">
        <v>1278</v>
      </c>
      <c r="DW12" s="135" t="s">
        <v>1598</v>
      </c>
      <c r="DX12" s="136">
        <v>0</v>
      </c>
      <c r="DY12" s="200">
        <v>11.5</v>
      </c>
      <c r="EK12" s="135">
        <f>SUM(EK10:EK11)</f>
        <v>0</v>
      </c>
      <c r="EO12" s="135" t="s">
        <v>2804</v>
      </c>
      <c r="EP12" s="135" t="s">
        <v>2766</v>
      </c>
      <c r="ET12" s="135" t="s">
        <v>2818</v>
      </c>
      <c r="EU12" s="135" t="s">
        <v>2930</v>
      </c>
      <c r="EY12" s="135" t="s">
        <v>2648</v>
      </c>
      <c r="EZ12" s="135" t="s">
        <v>2838</v>
      </c>
      <c r="FA12" s="135" t="s">
        <v>3360</v>
      </c>
      <c r="FB12" s="135" t="str">
        <f t="shared" si="7"/>
        <v>1vgOpname</v>
      </c>
      <c r="FC12" s="156">
        <f>VLOOKUP(EZ12,'Tarieven ZZP'!$D$6:$J$134,7,FALSE)</f>
        <v>128.72</v>
      </c>
      <c r="FD12" s="156">
        <f t="shared" si="1"/>
        <v>901.04</v>
      </c>
      <c r="FI12" s="181" t="s">
        <v>1233</v>
      </c>
      <c r="FJ12" s="135">
        <v>1</v>
      </c>
    </row>
    <row r="13" spans="1:166" ht="19.5" customHeight="1" thickBot="1" x14ac:dyDescent="0.35">
      <c r="A13" s="302"/>
      <c r="B13" s="335"/>
      <c r="C13" s="335"/>
      <c r="D13" s="335"/>
      <c r="E13" s="302"/>
      <c r="F13" s="302"/>
      <c r="G13" s="303"/>
      <c r="H13" s="303"/>
      <c r="I13" s="303"/>
      <c r="J13" s="303"/>
      <c r="K13" s="303"/>
      <c r="L13" s="302"/>
      <c r="M13" s="320"/>
      <c r="N13" s="306"/>
      <c r="O13" s="323" t="s">
        <v>2748</v>
      </c>
      <c r="P13" s="324"/>
      <c r="Q13" s="323"/>
      <c r="R13" s="323"/>
      <c r="S13" s="320"/>
      <c r="T13" s="244" t="s">
        <v>1795</v>
      </c>
      <c r="U13" s="245" t="s">
        <v>1565</v>
      </c>
      <c r="V13" s="238" t="s">
        <v>1220</v>
      </c>
      <c r="W13" s="223"/>
      <c r="X13" s="224" t="s">
        <v>1269</v>
      </c>
      <c r="Y13" s="224" t="s">
        <v>1243</v>
      </c>
      <c r="Z13" s="224" t="s">
        <v>1203</v>
      </c>
      <c r="AA13" s="225" t="s">
        <v>1205</v>
      </c>
      <c r="AB13" s="140">
        <v>0.92500000000000004</v>
      </c>
      <c r="AC13" s="141" t="s">
        <v>1663</v>
      </c>
      <c r="AD13" s="135" t="s">
        <v>1637</v>
      </c>
      <c r="AE13" s="142" t="s">
        <v>1743</v>
      </c>
      <c r="AF13" s="143"/>
      <c r="AG13" s="147"/>
      <c r="AH13" s="146"/>
      <c r="AI13" s="148"/>
      <c r="AJ13" s="135" t="s">
        <v>2809</v>
      </c>
      <c r="AK13" s="135" t="s">
        <v>2769</v>
      </c>
      <c r="AL13" s="135" t="s">
        <v>3560</v>
      </c>
      <c r="AM13" s="145" t="s">
        <v>1655</v>
      </c>
      <c r="AN13" s="170">
        <v>5</v>
      </c>
      <c r="AO13" s="170" t="s">
        <v>1548</v>
      </c>
      <c r="AP13" s="185" t="s">
        <v>1544</v>
      </c>
      <c r="AQ13" s="170">
        <f>SUMIF($B$18:$B$31,"BHgrp",$F$18:$F$31)</f>
        <v>0</v>
      </c>
      <c r="AR13" s="185" t="s">
        <v>1244</v>
      </c>
      <c r="AS13" s="170">
        <f>AQ13</f>
        <v>0</v>
      </c>
      <c r="AT13" s="170" t="s">
        <v>1244</v>
      </c>
      <c r="AU13" s="170">
        <f>IF(AS13&lt;=9,AS13,9)</f>
        <v>0</v>
      </c>
      <c r="AV13" s="170" t="str">
        <f>VLOOKUP(AU13,AP16:AQ25,2,FALSE)</f>
        <v>Nvt</v>
      </c>
      <c r="AW13" s="170"/>
      <c r="AX13" s="165" t="s">
        <v>1648</v>
      </c>
      <c r="AY13" s="135" t="s">
        <v>38</v>
      </c>
      <c r="AZ13" s="206">
        <f>VLOOKUP(AY13,'Tarieven ZIN prestaties'!$B$1:$D$84,2,FALSE)</f>
        <v>54.96</v>
      </c>
      <c r="BA13" s="207"/>
      <c r="BB13" s="173" t="s">
        <v>1594</v>
      </c>
      <c r="BC13" s="208">
        <f ca="1">SUM(I18:I31)-I33</f>
        <v>0</v>
      </c>
      <c r="BD13" s="181" t="s">
        <v>1270</v>
      </c>
      <c r="BE13" s="209">
        <v>772</v>
      </c>
      <c r="BF13" s="182" t="s">
        <v>1278</v>
      </c>
      <c r="BG13" s="210">
        <f>VLOOKUP(BD13,'PGB tarieven'!$A$7:$M$53,13,FALSE)</f>
        <v>74976</v>
      </c>
      <c r="BH13" s="211">
        <f t="shared" si="5"/>
        <v>1437.8958904109591</v>
      </c>
      <c r="BI13" s="193"/>
      <c r="BJ13" s="193"/>
      <c r="BK13" s="212" t="s">
        <v>1220</v>
      </c>
      <c r="BL13" s="175">
        <f>VLOOKUP(BK13,'Ruimte behandeling basis MPT'!$A$2:$H$41,8,FALSE)</f>
        <v>230.51000000000005</v>
      </c>
      <c r="BM13" s="135">
        <f>IF(R21="ja",0,BQ2)</f>
        <v>0</v>
      </c>
      <c r="BN13" s="135" t="s">
        <v>1690</v>
      </c>
      <c r="BO13" s="135">
        <v>39.69</v>
      </c>
      <c r="BP13" s="135">
        <f>BO13*7</f>
        <v>277.83</v>
      </c>
      <c r="BR13" s="179"/>
      <c r="BS13" s="179"/>
      <c r="BT13" s="196">
        <f ca="1">BT11-BT12</f>
        <v>0</v>
      </c>
      <c r="BU13" s="179"/>
      <c r="BV13" s="179"/>
      <c r="BW13" s="179"/>
      <c r="BX13" s="179"/>
      <c r="BY13" s="214" t="s">
        <v>1550</v>
      </c>
      <c r="BZ13" s="214">
        <v>11.5</v>
      </c>
      <c r="CA13" s="228" t="s">
        <v>1544</v>
      </c>
      <c r="CB13" s="229">
        <v>147.47</v>
      </c>
      <c r="CC13" s="228" t="s">
        <v>401</v>
      </c>
      <c r="CD13" s="214"/>
      <c r="CE13" s="214"/>
      <c r="CF13" s="214"/>
      <c r="CG13" s="214"/>
      <c r="CH13" s="214"/>
      <c r="CI13" s="181" t="s">
        <v>1270</v>
      </c>
      <c r="CJ13" s="209" t="s">
        <v>1633</v>
      </c>
      <c r="CK13" s="215" t="s">
        <v>1244</v>
      </c>
      <c r="CL13" s="235" t="s">
        <v>1269</v>
      </c>
      <c r="CM13" s="236">
        <v>770</v>
      </c>
      <c r="CN13" s="237">
        <v>12711</v>
      </c>
      <c r="CO13" s="232">
        <f t="shared" si="8"/>
        <v>244.44230769230768</v>
      </c>
      <c r="CP13" s="237">
        <v>7690</v>
      </c>
      <c r="CQ13" s="232">
        <f t="shared" si="9"/>
        <v>147.88461538461539</v>
      </c>
      <c r="CR13" s="237">
        <v>22788</v>
      </c>
      <c r="CS13" s="232">
        <f t="shared" si="10"/>
        <v>438.23076923076923</v>
      </c>
      <c r="CT13" s="237">
        <v>10974</v>
      </c>
      <c r="CU13" s="232">
        <f t="shared" si="11"/>
        <v>211.03846153846155</v>
      </c>
      <c r="CV13" s="237">
        <v>3357</v>
      </c>
      <c r="CW13" s="237">
        <v>57520</v>
      </c>
      <c r="CX13" s="233">
        <v>54163</v>
      </c>
      <c r="CY13" s="185" t="s">
        <v>1544</v>
      </c>
      <c r="CZ13" s="170">
        <f>SUMIF($B$18:$B$31,"BHgrp",$F$18:$F$31)</f>
        <v>0</v>
      </c>
      <c r="DA13" s="246">
        <f>CZ13</f>
        <v>0</v>
      </c>
      <c r="DB13" s="135">
        <v>9</v>
      </c>
      <c r="DC13" s="135">
        <f>DA13-DB13</f>
        <v>-9</v>
      </c>
      <c r="DD13" s="135">
        <f t="shared" si="6"/>
        <v>0</v>
      </c>
      <c r="DG13" s="136" t="s">
        <v>1697</v>
      </c>
      <c r="DH13" s="136" t="s">
        <v>1697</v>
      </c>
      <c r="DI13" s="136" t="s">
        <v>1809</v>
      </c>
      <c r="DK13" s="135">
        <f t="shared" si="2"/>
        <v>0</v>
      </c>
      <c r="DL13" s="135">
        <f t="shared" si="3"/>
        <v>0</v>
      </c>
      <c r="DM13" s="135">
        <f t="shared" si="4"/>
        <v>0</v>
      </c>
      <c r="DO13" s="142" t="s">
        <v>1743</v>
      </c>
      <c r="DP13" s="142" t="s">
        <v>1743</v>
      </c>
      <c r="DQ13" s="142" t="s">
        <v>1743</v>
      </c>
      <c r="DR13" s="142" t="s">
        <v>2656</v>
      </c>
      <c r="DS13" s="142" t="s">
        <v>1543</v>
      </c>
      <c r="DU13" s="181" t="s">
        <v>1231</v>
      </c>
      <c r="DV13" s="182" t="s">
        <v>1278</v>
      </c>
      <c r="DW13" s="135" t="s">
        <v>1598</v>
      </c>
      <c r="DX13" s="136">
        <v>0</v>
      </c>
      <c r="DY13" s="136">
        <v>14.5</v>
      </c>
      <c r="EO13" s="135" t="s">
        <v>2805</v>
      </c>
      <c r="EP13" s="135" t="s">
        <v>2926</v>
      </c>
      <c r="ET13" s="135" t="s">
        <v>2811</v>
      </c>
      <c r="EU13" s="135" t="s">
        <v>2771</v>
      </c>
      <c r="EY13" s="135" t="s">
        <v>2649</v>
      </c>
      <c r="EZ13" s="135" t="s">
        <v>2839</v>
      </c>
      <c r="FA13" s="135" t="s">
        <v>3360</v>
      </c>
      <c r="FB13" s="135" t="str">
        <f t="shared" si="7"/>
        <v>2vgOpname</v>
      </c>
      <c r="FC13" s="156">
        <f>VLOOKUP(EZ13,'Tarieven ZZP'!$D$6:$J$134,7,FALSE)</f>
        <v>143.11000000000001</v>
      </c>
      <c r="FD13" s="156">
        <f t="shared" si="1"/>
        <v>1001.7700000000001</v>
      </c>
      <c r="FI13" s="181" t="s">
        <v>1234</v>
      </c>
      <c r="FJ13" s="135">
        <v>1</v>
      </c>
    </row>
    <row r="14" spans="1:166" ht="19.5" customHeight="1" thickBot="1" x14ac:dyDescent="0.4">
      <c r="A14" s="302"/>
      <c r="B14" s="335"/>
      <c r="C14" s="335"/>
      <c r="D14" s="335"/>
      <c r="E14" s="302"/>
      <c r="F14" s="345" t="s">
        <v>3420</v>
      </c>
      <c r="G14" s="320"/>
      <c r="H14" s="320"/>
      <c r="I14" s="320"/>
      <c r="J14" s="303"/>
      <c r="K14" s="332"/>
      <c r="L14" s="302"/>
      <c r="M14" s="357" t="s">
        <v>3342</v>
      </c>
      <c r="N14" s="306"/>
      <c r="O14" s="323"/>
      <c r="P14" s="517" t="s">
        <v>3418</v>
      </c>
      <c r="Q14" s="517"/>
      <c r="R14" s="517"/>
      <c r="S14" s="517"/>
      <c r="T14" s="247" t="s">
        <v>1545</v>
      </c>
      <c r="U14" s="248" t="s">
        <v>1565</v>
      </c>
      <c r="V14" s="238" t="s">
        <v>1221</v>
      </c>
      <c r="W14" s="223"/>
      <c r="X14" s="224" t="s">
        <v>1270</v>
      </c>
      <c r="Y14" s="224" t="s">
        <v>1230</v>
      </c>
      <c r="Z14" s="224" t="s">
        <v>1204</v>
      </c>
      <c r="AA14" s="225" t="s">
        <v>1208</v>
      </c>
      <c r="AB14" s="140">
        <v>0.93</v>
      </c>
      <c r="AC14" s="141" t="s">
        <v>1671</v>
      </c>
      <c r="AD14" s="135" t="s">
        <v>1640</v>
      </c>
      <c r="AE14" s="142" t="s">
        <v>1745</v>
      </c>
      <c r="AF14" s="143"/>
      <c r="AG14" s="147"/>
      <c r="AH14" s="146"/>
      <c r="AI14" s="148"/>
      <c r="AJ14" s="135" t="s">
        <v>2810</v>
      </c>
      <c r="AK14" s="135" t="s">
        <v>2770</v>
      </c>
      <c r="AL14" s="135" t="s">
        <v>3380</v>
      </c>
      <c r="AM14" s="145" t="s">
        <v>1656</v>
      </c>
      <c r="AN14" s="170">
        <v>6</v>
      </c>
      <c r="AO14" s="170" t="s">
        <v>1548</v>
      </c>
      <c r="AP14" s="170" t="s">
        <v>1291</v>
      </c>
      <c r="AQ14" s="170">
        <f>SUMIF($B$18:$B$31,"logeren",$F$18:$F$31)</f>
        <v>0</v>
      </c>
      <c r="AR14" s="170" t="s">
        <v>1244</v>
      </c>
      <c r="AS14" s="170">
        <f>AQ14</f>
        <v>0</v>
      </c>
      <c r="AT14" s="170" t="s">
        <v>1244</v>
      </c>
      <c r="AU14" s="170">
        <f>IF(AS14&lt;=7,AS14,7)</f>
        <v>0</v>
      </c>
      <c r="AV14" s="170" t="str">
        <f>VLOOKUP(AU14,AR16:AS23,2,FALSE)</f>
        <v>Nvt</v>
      </c>
      <c r="AW14" s="170"/>
      <c r="AX14" s="165" t="s">
        <v>1735</v>
      </c>
      <c r="AY14" s="135" t="s">
        <v>42</v>
      </c>
      <c r="AZ14" s="206">
        <f>VLOOKUP(AY14,'Tarieven ZIN prestaties'!$B$1:$D$84,2,FALSE)</f>
        <v>58.87</v>
      </c>
      <c r="BA14" s="207"/>
      <c r="BB14" s="173" t="s">
        <v>1595</v>
      </c>
      <c r="BC14" s="208">
        <f ca="1">BC13-BC11</f>
        <v>0</v>
      </c>
      <c r="BD14" s="181" t="s">
        <v>1230</v>
      </c>
      <c r="BE14" s="209">
        <v>800</v>
      </c>
      <c r="BF14" s="182" t="s">
        <v>1278</v>
      </c>
      <c r="BG14" s="210">
        <f>VLOOKUP(BD14,'PGB tarieven'!$A$7:$M$53,13,FALSE)</f>
        <v>35459</v>
      </c>
      <c r="BH14" s="211">
        <f t="shared" si="5"/>
        <v>680.0356164383561</v>
      </c>
      <c r="BI14" s="193"/>
      <c r="BJ14" s="193"/>
      <c r="BK14" s="212" t="s">
        <v>1221</v>
      </c>
      <c r="BL14" s="175">
        <f>VLOOKUP(BK14,'Ruimte behandeling basis MPT'!$A$2:$H$41,8,FALSE)</f>
        <v>230.0199999999999</v>
      </c>
      <c r="BN14" s="135" t="s">
        <v>1598</v>
      </c>
      <c r="BO14" s="135">
        <v>0</v>
      </c>
      <c r="BP14" s="135">
        <v>0</v>
      </c>
      <c r="BR14" s="135">
        <f ca="1">IF(BT13&lt;0,3,0)</f>
        <v>0</v>
      </c>
      <c r="BV14" s="135" t="s">
        <v>1732</v>
      </c>
      <c r="BW14" s="251">
        <f ca="1">IF(BW12&gt;=BW6,BW6,BW12)</f>
        <v>0</v>
      </c>
      <c r="BY14" s="214" t="s">
        <v>1551</v>
      </c>
      <c r="BZ14" s="214">
        <v>14.5</v>
      </c>
      <c r="CA14" s="214"/>
      <c r="CB14" s="214"/>
      <c r="CC14" s="214"/>
      <c r="CD14" s="214"/>
      <c r="CE14" s="214"/>
      <c r="CF14" s="214"/>
      <c r="CG14" s="214"/>
      <c r="CH14" s="214"/>
      <c r="CI14" s="181" t="s">
        <v>1230</v>
      </c>
      <c r="CJ14" s="209" t="s">
        <v>1633</v>
      </c>
      <c r="CK14" s="215" t="s">
        <v>1244</v>
      </c>
      <c r="CL14" s="230" t="s">
        <v>1270</v>
      </c>
      <c r="CM14" s="231">
        <v>772</v>
      </c>
      <c r="CN14" s="232">
        <v>8220</v>
      </c>
      <c r="CO14" s="232">
        <f t="shared" si="8"/>
        <v>158.07692307692307</v>
      </c>
      <c r="CP14" s="232">
        <v>7690</v>
      </c>
      <c r="CQ14" s="232">
        <f t="shared" si="9"/>
        <v>147.88461538461539</v>
      </c>
      <c r="CR14" s="232">
        <v>35682</v>
      </c>
      <c r="CS14" s="232">
        <f t="shared" si="10"/>
        <v>686.19230769230774</v>
      </c>
      <c r="CT14" s="232">
        <v>13721</v>
      </c>
      <c r="CU14" s="232">
        <f t="shared" si="11"/>
        <v>263.86538461538464</v>
      </c>
      <c r="CV14" s="232">
        <v>3357</v>
      </c>
      <c r="CW14" s="232">
        <v>68670</v>
      </c>
      <c r="CX14" s="233">
        <v>65313</v>
      </c>
      <c r="CY14" s="170" t="s">
        <v>1798</v>
      </c>
      <c r="CZ14" s="170">
        <f>SUMIF($B$18:$B$31,"schoonmaak",$F$18:$F$31)</f>
        <v>0</v>
      </c>
      <c r="DA14" s="170">
        <f>CZ14/60</f>
        <v>0</v>
      </c>
      <c r="DB14" s="135">
        <v>25</v>
      </c>
      <c r="DC14" s="135">
        <f>DA14-DB14</f>
        <v>-25</v>
      </c>
      <c r="DD14" s="135">
        <f t="shared" si="6"/>
        <v>0</v>
      </c>
      <c r="DG14" s="136" t="s">
        <v>3701</v>
      </c>
      <c r="DH14" s="136" t="s">
        <v>1804</v>
      </c>
      <c r="DI14" s="136" t="s">
        <v>1810</v>
      </c>
      <c r="DK14" s="135">
        <f t="shared" si="2"/>
        <v>0</v>
      </c>
      <c r="DL14" s="135">
        <f t="shared" si="3"/>
        <v>0</v>
      </c>
      <c r="DM14" s="135">
        <f t="shared" si="4"/>
        <v>0</v>
      </c>
      <c r="DO14" s="142" t="s">
        <v>1745</v>
      </c>
      <c r="DP14" s="142" t="s">
        <v>1745</v>
      </c>
      <c r="DQ14" s="142" t="s">
        <v>1745</v>
      </c>
      <c r="DR14" s="142" t="s">
        <v>2658</v>
      </c>
      <c r="DS14" s="142" t="s">
        <v>1543</v>
      </c>
      <c r="DU14" s="181" t="s">
        <v>1232</v>
      </c>
      <c r="DV14" s="182" t="s">
        <v>1278</v>
      </c>
      <c r="DW14" s="135" t="s">
        <v>1598</v>
      </c>
      <c r="DX14" s="136">
        <v>0</v>
      </c>
      <c r="DY14" s="200">
        <v>17.5</v>
      </c>
      <c r="EO14" s="135" t="s">
        <v>2806</v>
      </c>
      <c r="EP14" s="135" t="s">
        <v>2767</v>
      </c>
      <c r="ET14" s="135" t="s">
        <v>2819</v>
      </c>
      <c r="EU14" s="135" t="s">
        <v>2931</v>
      </c>
      <c r="EY14" s="135" t="s">
        <v>2650</v>
      </c>
      <c r="EZ14" s="135" t="s">
        <v>2858</v>
      </c>
      <c r="FA14" s="135" t="s">
        <v>3360</v>
      </c>
      <c r="FB14" s="135" t="str">
        <f t="shared" si="7"/>
        <v>3vgOpname</v>
      </c>
      <c r="FC14" s="156">
        <f>VLOOKUP(EZ14,'Tarieven ZZP'!$D$6:$J$134,7,FALSE)</f>
        <v>186.1</v>
      </c>
      <c r="FD14" s="156">
        <f t="shared" si="1"/>
        <v>1302.7</v>
      </c>
      <c r="FI14" s="181" t="s">
        <v>1235</v>
      </c>
      <c r="FJ14" s="135">
        <v>1</v>
      </c>
    </row>
    <row r="15" spans="1:166" ht="19.5" customHeight="1" thickBot="1" x14ac:dyDescent="0.4">
      <c r="A15" s="302"/>
      <c r="B15" s="342"/>
      <c r="C15" s="335"/>
      <c r="D15" s="335"/>
      <c r="E15" s="302"/>
      <c r="F15" s="302"/>
      <c r="G15" s="468"/>
      <c r="H15" s="468"/>
      <c r="I15" s="303"/>
      <c r="J15" s="303"/>
      <c r="K15" s="303"/>
      <c r="L15" s="302"/>
      <c r="M15" s="331">
        <f ca="1">IF(AND(I33&gt;0,F5="MPT"),T19,0)</f>
        <v>0</v>
      </c>
      <c r="N15" s="322">
        <f ca="1">IFERROR(M15/M17,0)</f>
        <v>0</v>
      </c>
      <c r="O15" s="323"/>
      <c r="P15" s="517"/>
      <c r="Q15" s="517"/>
      <c r="R15" s="517"/>
      <c r="S15" s="517"/>
      <c r="T15" s="249" t="s">
        <v>1291</v>
      </c>
      <c r="U15" s="250" t="s">
        <v>1669</v>
      </c>
      <c r="V15" s="238" t="s">
        <v>1222</v>
      </c>
      <c r="W15" s="223"/>
      <c r="X15" s="223"/>
      <c r="Y15" s="224" t="s">
        <v>1231</v>
      </c>
      <c r="Z15" s="224"/>
      <c r="AA15" s="225" t="s">
        <v>1206</v>
      </c>
      <c r="AB15" s="140">
        <v>0.93500000000000005</v>
      </c>
      <c r="AC15" s="141" t="s">
        <v>1672</v>
      </c>
      <c r="AD15" s="135" t="s">
        <v>1641</v>
      </c>
      <c r="AE15" s="142" t="s">
        <v>1746</v>
      </c>
      <c r="AF15" s="143"/>
      <c r="AG15" s="150"/>
      <c r="AH15" s="146"/>
      <c r="AI15" s="148"/>
      <c r="AJ15" s="135" t="s">
        <v>2811</v>
      </c>
      <c r="AK15" s="135" t="s">
        <v>2771</v>
      </c>
      <c r="AL15" s="135" t="s">
        <v>3374</v>
      </c>
      <c r="AM15" s="145" t="s">
        <v>1657</v>
      </c>
      <c r="AN15" s="170">
        <v>7</v>
      </c>
      <c r="AO15" s="170" t="s">
        <v>1549</v>
      </c>
      <c r="AP15" s="170" t="s">
        <v>1795</v>
      </c>
      <c r="AQ15" s="170">
        <f>SUMIF($B$18:$B$31,"Schoonmaak",$F$18:$F$31)</f>
        <v>0</v>
      </c>
      <c r="AR15" s="170">
        <f>AQ15/60</f>
        <v>0</v>
      </c>
      <c r="AS15" s="170">
        <f>FLOOR(AR15,1)</f>
        <v>0</v>
      </c>
      <c r="AT15" s="170">
        <f>IF(AQ15&gt;0,1,0)</f>
        <v>0</v>
      </c>
      <c r="AU15" s="170">
        <f>IF(AS15+AT15&lt;=1,AT15,AS15)</f>
        <v>0</v>
      </c>
      <c r="AV15" s="170" t="str">
        <f>IFERROR(VLOOKUP(AU15,$AN$8:$AO$33,2,FALSE),"K8")</f>
        <v>Nvt</v>
      </c>
      <c r="AW15" s="170"/>
      <c r="AX15" s="165" t="s">
        <v>1645</v>
      </c>
      <c r="AY15" s="135" t="s">
        <v>20</v>
      </c>
      <c r="AZ15" s="206">
        <f>VLOOKUP(AY15,'Tarieven ZIN prestaties'!$B$1:$D$84,2,FALSE)</f>
        <v>76.569999999999993</v>
      </c>
      <c r="BA15" s="207"/>
      <c r="BB15" s="173"/>
      <c r="BC15" s="173"/>
      <c r="BD15" s="181" t="s">
        <v>1231</v>
      </c>
      <c r="BE15" s="209">
        <v>802</v>
      </c>
      <c r="BF15" s="182" t="s">
        <v>1278</v>
      </c>
      <c r="BG15" s="210">
        <f>VLOOKUP(BD15,'PGB tarieven'!$A$7:$M$53,13,FALSE)</f>
        <v>41965</v>
      </c>
      <c r="BH15" s="211">
        <f t="shared" si="5"/>
        <v>804.80821917808225</v>
      </c>
      <c r="BI15" s="193"/>
      <c r="BJ15" s="193"/>
      <c r="BK15" s="212" t="s">
        <v>1222</v>
      </c>
      <c r="BL15" s="175">
        <f>VLOOKUP(BK15,'Ruimte behandeling basis MPT'!$A$2:$H$41,8,FALSE)</f>
        <v>469.70000000000016</v>
      </c>
      <c r="BM15" s="135">
        <f>IF(R25="ja",BN10,0)</f>
        <v>0</v>
      </c>
      <c r="BR15" s="135" t="s">
        <v>1611</v>
      </c>
      <c r="BT15" s="156">
        <f ca="1">BT6+BT11</f>
        <v>0</v>
      </c>
      <c r="BY15" s="214" t="s">
        <v>1552</v>
      </c>
      <c r="BZ15" s="214">
        <v>18</v>
      </c>
      <c r="CA15" s="214"/>
      <c r="CB15" s="214"/>
      <c r="CC15" s="214"/>
      <c r="CD15" s="214"/>
      <c r="CE15" s="214"/>
      <c r="CF15" s="214"/>
      <c r="CG15" s="214"/>
      <c r="CH15" s="214"/>
      <c r="CI15" s="181" t="s">
        <v>1231</v>
      </c>
      <c r="CJ15" s="209" t="s">
        <v>1633</v>
      </c>
      <c r="CK15" s="215" t="s">
        <v>1244</v>
      </c>
      <c r="CL15" s="235" t="s">
        <v>1238</v>
      </c>
      <c r="CM15" s="236">
        <v>780</v>
      </c>
      <c r="CN15" s="237">
        <v>4491</v>
      </c>
      <c r="CO15" s="232">
        <f t="shared" si="8"/>
        <v>86.365384615384613</v>
      </c>
      <c r="CP15" s="236">
        <v>0</v>
      </c>
      <c r="CQ15" s="232">
        <f t="shared" si="9"/>
        <v>0</v>
      </c>
      <c r="CR15" s="237">
        <v>16866</v>
      </c>
      <c r="CS15" s="232">
        <f t="shared" si="10"/>
        <v>324.34615384615387</v>
      </c>
      <c r="CT15" s="237">
        <v>2744</v>
      </c>
      <c r="CU15" s="232">
        <f t="shared" si="11"/>
        <v>52.769230769230766</v>
      </c>
      <c r="CV15" s="237">
        <v>3357</v>
      </c>
      <c r="CW15" s="237">
        <v>27458</v>
      </c>
      <c r="CX15" s="233">
        <v>24101</v>
      </c>
      <c r="DG15" s="135" t="s">
        <v>1598</v>
      </c>
      <c r="DH15" s="136" t="s">
        <v>3701</v>
      </c>
      <c r="DI15" s="135" t="s">
        <v>1406</v>
      </c>
      <c r="DK15" s="135">
        <f t="shared" si="2"/>
        <v>0</v>
      </c>
      <c r="DL15" s="135">
        <f t="shared" si="3"/>
        <v>0</v>
      </c>
      <c r="DM15" s="135">
        <f t="shared" si="4"/>
        <v>0</v>
      </c>
      <c r="DO15" s="142" t="s">
        <v>1748</v>
      </c>
      <c r="DP15" s="142" t="s">
        <v>1746</v>
      </c>
      <c r="DQ15" s="142" t="s">
        <v>1746</v>
      </c>
      <c r="DR15" s="142" t="s">
        <v>2657</v>
      </c>
      <c r="DS15" s="142" t="s">
        <v>1543</v>
      </c>
      <c r="DU15" s="181" t="s">
        <v>1233</v>
      </c>
      <c r="DV15" s="182" t="s">
        <v>1278</v>
      </c>
      <c r="DW15" s="135" t="s">
        <v>1598</v>
      </c>
      <c r="DX15" s="136">
        <v>0</v>
      </c>
      <c r="DY15" s="136">
        <v>20</v>
      </c>
      <c r="EO15" s="135" t="s">
        <v>2814</v>
      </c>
      <c r="EP15" s="135" t="s">
        <v>2927</v>
      </c>
      <c r="ET15" s="135" t="s">
        <v>2812</v>
      </c>
      <c r="EU15" s="135" t="s">
        <v>2772</v>
      </c>
      <c r="EY15" s="135" t="s">
        <v>2651</v>
      </c>
      <c r="EZ15" s="135" t="s">
        <v>2859</v>
      </c>
      <c r="FA15" s="135" t="s">
        <v>3360</v>
      </c>
      <c r="FB15" s="135" t="str">
        <f t="shared" si="7"/>
        <v>4vgOpname</v>
      </c>
      <c r="FC15" s="156">
        <f>VLOOKUP(EZ15,'Tarieven ZZP'!$D$6:$J$134,7,FALSE)</f>
        <v>218.97</v>
      </c>
      <c r="FD15" s="156">
        <f t="shared" si="1"/>
        <v>1532.79</v>
      </c>
      <c r="FI15" s="181" t="s">
        <v>1236</v>
      </c>
      <c r="FJ15" s="135">
        <v>1</v>
      </c>
    </row>
    <row r="16" spans="1:166" ht="31.5" customHeight="1" thickBot="1" x14ac:dyDescent="0.45">
      <c r="A16" s="302"/>
      <c r="B16" s="342" t="s">
        <v>3417</v>
      </c>
      <c r="C16" s="335"/>
      <c r="D16" s="335"/>
      <c r="E16" s="335"/>
      <c r="F16" s="341"/>
      <c r="G16" s="465" t="s">
        <v>1630</v>
      </c>
      <c r="H16" s="335"/>
      <c r="I16" s="335"/>
      <c r="J16" s="305"/>
      <c r="K16" s="305"/>
      <c r="L16" s="302"/>
      <c r="M16" s="348" t="str">
        <f>IF(M5="financiële ruimte","Bedrag ZIN","Bedrag ZIN thuis")</f>
        <v>Bedrag ZIN thuis</v>
      </c>
      <c r="N16" s="306"/>
      <c r="O16" s="323"/>
      <c r="P16" s="517"/>
      <c r="Q16" s="517"/>
      <c r="R16" s="517"/>
      <c r="S16" s="517"/>
      <c r="T16" s="252" t="s">
        <v>3016</v>
      </c>
      <c r="U16" s="252" t="s">
        <v>1669</v>
      </c>
      <c r="V16" s="238" t="s">
        <v>1223</v>
      </c>
      <c r="W16" s="223"/>
      <c r="X16" s="223"/>
      <c r="Y16" s="224" t="s">
        <v>1232</v>
      </c>
      <c r="Z16" s="224"/>
      <c r="AA16" s="225" t="s">
        <v>1207</v>
      </c>
      <c r="AB16" s="140">
        <v>0.94</v>
      </c>
      <c r="AC16" s="141" t="s">
        <v>1664</v>
      </c>
      <c r="AD16" s="135" t="s">
        <v>1642</v>
      </c>
      <c r="AE16" s="142" t="s">
        <v>1747</v>
      </c>
      <c r="AF16" s="143"/>
      <c r="AG16" s="150"/>
      <c r="AH16" s="146"/>
      <c r="AI16" s="148"/>
      <c r="AJ16" s="135" t="s">
        <v>2812</v>
      </c>
      <c r="AK16" s="135" t="s">
        <v>2772</v>
      </c>
      <c r="AL16" s="149"/>
      <c r="AM16" s="145" t="s">
        <v>1658</v>
      </c>
      <c r="AN16" s="170">
        <v>8</v>
      </c>
      <c r="AO16" s="170" t="s">
        <v>1549</v>
      </c>
      <c r="AP16" s="170">
        <v>0</v>
      </c>
      <c r="AQ16" s="170" t="s">
        <v>1554</v>
      </c>
      <c r="AR16" s="170">
        <v>0</v>
      </c>
      <c r="AS16" s="170" t="s">
        <v>1554</v>
      </c>
      <c r="AT16" s="170"/>
      <c r="AU16" s="170"/>
      <c r="AV16" s="170">
        <f>SUMIFS(F18:F31,B18:B31,"BGgrp",G18:G31,"Dagdelen")</f>
        <v>0</v>
      </c>
      <c r="AW16" s="170"/>
      <c r="AX16" s="165" t="s">
        <v>1665</v>
      </c>
      <c r="AY16" s="135" t="s">
        <v>548</v>
      </c>
      <c r="AZ16" s="206">
        <f>VLOOKUP(AY16,'Tarieven ZIN prestaties'!$B$1:$D$84,2,FALSE)</f>
        <v>51.68</v>
      </c>
      <c r="BA16" s="207"/>
      <c r="BD16" s="181" t="s">
        <v>1232</v>
      </c>
      <c r="BE16" s="209">
        <v>804</v>
      </c>
      <c r="BF16" s="182" t="s">
        <v>1278</v>
      </c>
      <c r="BG16" s="210">
        <f>VLOOKUP(BD16,'PGB tarieven'!$A$7:$M$53,13,FALSE)</f>
        <v>47835</v>
      </c>
      <c r="BH16" s="211">
        <f t="shared" si="5"/>
        <v>917.38356164383561</v>
      </c>
      <c r="BI16" s="193"/>
      <c r="BJ16" s="193"/>
      <c r="BK16" s="212" t="s">
        <v>1223</v>
      </c>
      <c r="BL16" s="175">
        <f>VLOOKUP(BK16,'Ruimte behandeling basis MPT'!$A$2:$H$41,8,FALSE)</f>
        <v>230.79000000000019</v>
      </c>
      <c r="BM16" s="181" t="s">
        <v>1214</v>
      </c>
      <c r="BN16" s="209">
        <v>750</v>
      </c>
      <c r="BO16" s="182" t="s">
        <v>1244</v>
      </c>
      <c r="BP16" s="253">
        <f>VLOOKUP(BM16,'PGB tarieven'!$A$7:$M$53,13,FALSE)</f>
        <v>16003</v>
      </c>
      <c r="BQ16" s="211">
        <f>BP16/365*7</f>
        <v>306.90684931506848</v>
      </c>
      <c r="BR16" s="179" t="s">
        <v>1612</v>
      </c>
      <c r="BT16" s="156">
        <f ca="1">BT7+BT12</f>
        <v>0</v>
      </c>
      <c r="BY16" s="214" t="s">
        <v>1553</v>
      </c>
      <c r="BZ16" s="214">
        <v>22.5</v>
      </c>
      <c r="CA16" s="214"/>
      <c r="CB16" s="214"/>
      <c r="CC16" s="214"/>
      <c r="CD16" s="214"/>
      <c r="CE16" s="214"/>
      <c r="CF16" s="214"/>
      <c r="CG16" s="214"/>
      <c r="CH16" s="214"/>
      <c r="CI16" s="181" t="s">
        <v>1232</v>
      </c>
      <c r="CJ16" s="209" t="s">
        <v>1633</v>
      </c>
      <c r="CK16" s="215" t="s">
        <v>1244</v>
      </c>
      <c r="CL16" s="230" t="s">
        <v>1239</v>
      </c>
      <c r="CM16" s="231">
        <v>781</v>
      </c>
      <c r="CN16" s="232">
        <v>4491</v>
      </c>
      <c r="CO16" s="232">
        <f t="shared" si="8"/>
        <v>86.365384615384613</v>
      </c>
      <c r="CP16" s="231">
        <v>0</v>
      </c>
      <c r="CQ16" s="232">
        <f t="shared" si="9"/>
        <v>0</v>
      </c>
      <c r="CR16" s="232">
        <v>28748</v>
      </c>
      <c r="CS16" s="232">
        <f t="shared" si="10"/>
        <v>552.84615384615381</v>
      </c>
      <c r="CT16" s="232">
        <v>2744</v>
      </c>
      <c r="CU16" s="232">
        <f t="shared" si="11"/>
        <v>52.769230769230766</v>
      </c>
      <c r="CV16" s="232">
        <v>3357</v>
      </c>
      <c r="CW16" s="232">
        <v>39340</v>
      </c>
      <c r="CX16" s="233">
        <v>35983</v>
      </c>
      <c r="DA16" s="135" t="s">
        <v>1629</v>
      </c>
      <c r="DH16" s="135" t="s">
        <v>1598</v>
      </c>
      <c r="DI16" s="136" t="s">
        <v>1811</v>
      </c>
      <c r="DK16" s="135">
        <f t="shared" si="2"/>
        <v>0</v>
      </c>
      <c r="DL16" s="135">
        <f t="shared" si="3"/>
        <v>0</v>
      </c>
      <c r="DM16" s="135">
        <f t="shared" si="4"/>
        <v>0</v>
      </c>
      <c r="DO16" s="142" t="s">
        <v>1668</v>
      </c>
      <c r="DP16" s="142" t="s">
        <v>1748</v>
      </c>
      <c r="DQ16" s="142" t="s">
        <v>1747</v>
      </c>
      <c r="DR16" s="142" t="s">
        <v>2659</v>
      </c>
      <c r="DS16" s="142" t="s">
        <v>1543</v>
      </c>
      <c r="DU16" s="181" t="s">
        <v>1234</v>
      </c>
      <c r="DV16" s="182" t="s">
        <v>1278</v>
      </c>
      <c r="DW16" s="135" t="s">
        <v>1631</v>
      </c>
      <c r="DX16" s="200">
        <f>DY16*1.25</f>
        <v>31.875</v>
      </c>
      <c r="DY16" s="254">
        <v>25.5</v>
      </c>
      <c r="EO16" s="135" t="s">
        <v>2807</v>
      </c>
      <c r="EP16" s="135" t="s">
        <v>2768</v>
      </c>
      <c r="ET16" s="135" t="s">
        <v>2820</v>
      </c>
      <c r="EU16" s="135" t="s">
        <v>2932</v>
      </c>
      <c r="EY16" s="135" t="s">
        <v>2652</v>
      </c>
      <c r="EZ16" s="135" t="s">
        <v>2860</v>
      </c>
      <c r="FA16" s="135" t="s">
        <v>3360</v>
      </c>
      <c r="FB16" s="135" t="str">
        <f t="shared" si="7"/>
        <v>5vgOpname</v>
      </c>
      <c r="FC16" s="156">
        <f>VLOOKUP(EZ16,'Tarieven ZZP'!$D$6:$J$134,7,FALSE)</f>
        <v>280.76</v>
      </c>
      <c r="FD16" s="156">
        <f t="shared" si="1"/>
        <v>1965.32</v>
      </c>
      <c r="FI16" s="181" t="s">
        <v>1237</v>
      </c>
      <c r="FJ16" s="135">
        <v>1</v>
      </c>
    </row>
    <row r="17" spans="1:166" ht="38.25" thickBot="1" x14ac:dyDescent="0.35">
      <c r="A17" s="302"/>
      <c r="B17" s="341" t="s">
        <v>3013</v>
      </c>
      <c r="C17" s="341"/>
      <c r="D17" s="341" t="s">
        <v>0</v>
      </c>
      <c r="E17" s="341" t="s">
        <v>3014</v>
      </c>
      <c r="F17" s="346" t="s">
        <v>3015</v>
      </c>
      <c r="G17" s="465"/>
      <c r="H17" s="346" t="s">
        <v>1324</v>
      </c>
      <c r="I17" s="347" t="s">
        <v>1429</v>
      </c>
      <c r="J17" s="305"/>
      <c r="K17" s="358" t="s">
        <v>3325</v>
      </c>
      <c r="L17" s="302"/>
      <c r="M17" s="289">
        <f ca="1">M10+M12+M15</f>
        <v>0</v>
      </c>
      <c r="N17" s="319">
        <f ca="1">IFERROR(M17/M6,0)</f>
        <v>0</v>
      </c>
      <c r="O17" s="320"/>
      <c r="P17" s="517"/>
      <c r="Q17" s="517"/>
      <c r="R17" s="517"/>
      <c r="S17" s="517"/>
      <c r="T17" s="252" t="s">
        <v>6</v>
      </c>
      <c r="U17" s="252" t="s">
        <v>1566</v>
      </c>
      <c r="V17" s="238"/>
      <c r="W17" s="223"/>
      <c r="X17" s="223"/>
      <c r="Y17" s="224" t="s">
        <v>1233</v>
      </c>
      <c r="Z17" s="223"/>
      <c r="AA17" s="255"/>
      <c r="AB17" s="140">
        <v>0.94499999999999995</v>
      </c>
      <c r="AC17" s="141" t="s">
        <v>1739</v>
      </c>
      <c r="AD17" s="135" t="s">
        <v>1643</v>
      </c>
      <c r="AE17" s="142" t="s">
        <v>1748</v>
      </c>
      <c r="AF17" s="143"/>
      <c r="AG17" s="150"/>
      <c r="AH17" s="146"/>
      <c r="AI17" s="150"/>
      <c r="AJ17" s="135" t="s">
        <v>2813</v>
      </c>
      <c r="AK17" s="135" t="s">
        <v>2773</v>
      </c>
      <c r="AL17" s="151"/>
      <c r="AM17" s="151"/>
      <c r="AN17" s="170">
        <v>9</v>
      </c>
      <c r="AO17" s="170" t="s">
        <v>1549</v>
      </c>
      <c r="AP17" s="170">
        <v>1</v>
      </c>
      <c r="AQ17" s="170" t="s">
        <v>1555</v>
      </c>
      <c r="AR17" s="170">
        <v>1</v>
      </c>
      <c r="AS17" s="170" t="s">
        <v>1580</v>
      </c>
      <c r="AT17" s="170"/>
      <c r="AU17" s="170"/>
      <c r="AV17" s="170">
        <f>SUMIFS(F18:F31,B18:B31,"BGgrp",G18:G31,"Minuten")</f>
        <v>0</v>
      </c>
      <c r="AW17" s="170"/>
      <c r="AX17" s="165" t="s">
        <v>1650</v>
      </c>
      <c r="AY17" s="135" t="s">
        <v>46</v>
      </c>
      <c r="AZ17" s="206">
        <f>VLOOKUP(AY17,'Tarieven ZIN prestaties'!$B$1:$D$84,2,FALSE)</f>
        <v>54.96</v>
      </c>
      <c r="BA17" s="207"/>
      <c r="BD17" s="181" t="s">
        <v>1233</v>
      </c>
      <c r="BE17" s="209">
        <v>806</v>
      </c>
      <c r="BF17" s="182" t="s">
        <v>1278</v>
      </c>
      <c r="BG17" s="210">
        <f>VLOOKUP(BD17,'PGB tarieven'!$A$7:$M$53,13,FALSE)</f>
        <v>52503</v>
      </c>
      <c r="BH17" s="211">
        <f t="shared" si="5"/>
        <v>1006.9068493150685</v>
      </c>
      <c r="BI17" s="193"/>
      <c r="BJ17" s="193"/>
      <c r="BK17" s="212" t="s">
        <v>1230</v>
      </c>
      <c r="BL17" s="175">
        <f>VLOOKUP(BK17,'Ruimte behandeling basis MPT'!$A$2:$H$41,8,FALSE)</f>
        <v>0</v>
      </c>
      <c r="BM17" s="181" t="s">
        <v>1215</v>
      </c>
      <c r="BN17" s="209">
        <v>751</v>
      </c>
      <c r="BO17" s="182" t="s">
        <v>1244</v>
      </c>
      <c r="BP17" s="253">
        <f>VLOOKUP(BM17,'PGB tarieven'!$A$7:$M$53,13,FALSE)</f>
        <v>23205</v>
      </c>
      <c r="BQ17" s="211">
        <f t="shared" ref="BQ17:BQ31" si="12">BP17/365*7</f>
        <v>445.02739726027397</v>
      </c>
      <c r="BT17" s="156">
        <f ca="1">BT15-BT16</f>
        <v>0</v>
      </c>
      <c r="BY17" s="214" t="s">
        <v>1555</v>
      </c>
      <c r="BZ17" s="214">
        <v>1</v>
      </c>
      <c r="CA17" s="214"/>
      <c r="CB17" s="214"/>
      <c r="CC17" s="214"/>
      <c r="CD17" s="214"/>
      <c r="CE17" s="214"/>
      <c r="CF17" s="214"/>
      <c r="CG17" s="214"/>
      <c r="CH17" s="214"/>
      <c r="CI17" s="181" t="s">
        <v>1233</v>
      </c>
      <c r="CJ17" s="209" t="s">
        <v>1633</v>
      </c>
      <c r="CK17" s="215" t="s">
        <v>1244</v>
      </c>
      <c r="CL17" s="235" t="s">
        <v>1240</v>
      </c>
      <c r="CM17" s="236">
        <v>782</v>
      </c>
      <c r="CN17" s="237">
        <v>12711</v>
      </c>
      <c r="CO17" s="232">
        <f t="shared" si="8"/>
        <v>244.44230769230768</v>
      </c>
      <c r="CP17" s="236">
        <v>0</v>
      </c>
      <c r="CQ17" s="232">
        <f t="shared" si="9"/>
        <v>0</v>
      </c>
      <c r="CR17" s="237">
        <v>28748</v>
      </c>
      <c r="CS17" s="232">
        <f t="shared" si="10"/>
        <v>552.84615384615381</v>
      </c>
      <c r="CT17" s="237">
        <v>2744</v>
      </c>
      <c r="CU17" s="232">
        <f t="shared" si="11"/>
        <v>52.769230769230766</v>
      </c>
      <c r="CV17" s="237">
        <v>3357</v>
      </c>
      <c r="CW17" s="237">
        <v>47560</v>
      </c>
      <c r="CX17" s="233">
        <v>44203</v>
      </c>
      <c r="DA17" s="135">
        <f>SUM(DD8:DD14)</f>
        <v>0</v>
      </c>
      <c r="DI17" s="136" t="s">
        <v>1598</v>
      </c>
      <c r="DK17" s="135">
        <f t="shared" si="2"/>
        <v>0</v>
      </c>
      <c r="DL17" s="135">
        <f t="shared" si="3"/>
        <v>0</v>
      </c>
      <c r="DM17" s="135">
        <f t="shared" si="4"/>
        <v>0</v>
      </c>
      <c r="DO17" s="142" t="s">
        <v>1752</v>
      </c>
      <c r="DP17" s="142" t="s">
        <v>1749</v>
      </c>
      <c r="DQ17" s="142" t="s">
        <v>1748</v>
      </c>
      <c r="DR17" s="142" t="s">
        <v>2660</v>
      </c>
      <c r="DS17" s="142" t="s">
        <v>1543</v>
      </c>
      <c r="DU17" s="181" t="s">
        <v>1235</v>
      </c>
      <c r="DV17" s="182" t="s">
        <v>1278</v>
      </c>
      <c r="DW17" s="135" t="s">
        <v>1598</v>
      </c>
      <c r="DX17" s="200">
        <f t="shared" ref="DX17:DX81" si="13">DY17*1.25</f>
        <v>31.25</v>
      </c>
      <c r="DY17" s="135">
        <v>25</v>
      </c>
      <c r="EO17" s="135" t="s">
        <v>2815</v>
      </c>
      <c r="EP17" s="135" t="s">
        <v>2928</v>
      </c>
      <c r="ET17" s="135" t="s">
        <v>2813</v>
      </c>
      <c r="EU17" s="135" t="s">
        <v>2773</v>
      </c>
      <c r="EY17" s="135" t="s">
        <v>2653</v>
      </c>
      <c r="EZ17" s="135" t="s">
        <v>2861</v>
      </c>
      <c r="FA17" s="135" t="s">
        <v>3360</v>
      </c>
      <c r="FB17" s="135" t="str">
        <f t="shared" si="7"/>
        <v>6vgOpname</v>
      </c>
      <c r="FC17" s="156">
        <f>VLOOKUP(EZ17,'Tarieven ZZP'!$D$6:$J$134,7,FALSE)</f>
        <v>251.38</v>
      </c>
      <c r="FD17" s="156">
        <f t="shared" si="1"/>
        <v>1759.6599999999999</v>
      </c>
      <c r="FI17" s="181" t="s">
        <v>1198</v>
      </c>
      <c r="FJ17" s="135">
        <v>1</v>
      </c>
    </row>
    <row r="18" spans="1:166" ht="21" customHeight="1" thickBot="1" x14ac:dyDescent="0.35">
      <c r="A18" s="302"/>
      <c r="B18" s="285"/>
      <c r="C18" s="321">
        <f t="shared" ref="C18:C31" si="14">IF(B18="onklaar",$DO$1,B18)</f>
        <v>0</v>
      </c>
      <c r="D18" s="285"/>
      <c r="E18" s="285"/>
      <c r="F18" s="286"/>
      <c r="G18" s="287">
        <f t="shared" ref="G18:G31" si="15">DM6</f>
        <v>0</v>
      </c>
      <c r="H18" s="363">
        <f>IFERROR(IF(OR(COUNTIF(B18:B31,"VPTprestatie")&gt;1,(COUNTIF(B18:B31,"verblijfsprestatie")&gt;1)),"fout splitsing",U29),U29)</f>
        <v>0</v>
      </c>
      <c r="I18" s="360">
        <f t="shared" ref="I18:I31" si="16">IF(G18="minuten",(H18/60)*F18,F18*H18)</f>
        <v>0</v>
      </c>
      <c r="J18" s="305"/>
      <c r="K18" s="359">
        <f t="shared" ref="K18:K31" si="17">IFERROR(I18/($T$27+$M$8)*100%,0)</f>
        <v>0</v>
      </c>
      <c r="L18" s="302"/>
      <c r="M18" s="306"/>
      <c r="N18" s="306"/>
      <c r="O18" s="315"/>
      <c r="P18" s="306"/>
      <c r="Q18" s="306"/>
      <c r="R18" s="306"/>
      <c r="S18" s="302"/>
      <c r="T18" s="252" t="s">
        <v>2994</v>
      </c>
      <c r="U18" s="252" t="s">
        <v>1669</v>
      </c>
      <c r="V18" s="238"/>
      <c r="W18" s="223"/>
      <c r="X18" s="223"/>
      <c r="Y18" s="224" t="s">
        <v>1234</v>
      </c>
      <c r="Z18" s="223"/>
      <c r="AA18" s="255"/>
      <c r="AB18" s="140">
        <v>0.95</v>
      </c>
      <c r="AC18" s="141" t="s">
        <v>1740</v>
      </c>
      <c r="AD18" s="146"/>
      <c r="AE18" s="142" t="s">
        <v>1749</v>
      </c>
      <c r="AF18" s="143"/>
      <c r="AG18" s="150"/>
      <c r="AH18" s="150"/>
      <c r="AI18" s="150"/>
      <c r="AJ18" s="135" t="s">
        <v>2814</v>
      </c>
      <c r="AK18" s="135" t="s">
        <v>2774</v>
      </c>
      <c r="AL18" s="151"/>
      <c r="AM18" s="151"/>
      <c r="AN18" s="170">
        <v>10</v>
      </c>
      <c r="AO18" s="170" t="s">
        <v>1550</v>
      </c>
      <c r="AP18" s="170">
        <v>2</v>
      </c>
      <c r="AQ18" s="170" t="s">
        <v>1556</v>
      </c>
      <c r="AR18" s="170">
        <v>2</v>
      </c>
      <c r="AS18" s="170" t="s">
        <v>1581</v>
      </c>
      <c r="AT18" s="170"/>
      <c r="AU18" s="170"/>
      <c r="AV18" s="170">
        <f>AV17/60</f>
        <v>0</v>
      </c>
      <c r="AW18" s="170"/>
      <c r="AX18" s="165" t="s">
        <v>1651</v>
      </c>
      <c r="AY18" s="135" t="s">
        <v>40</v>
      </c>
      <c r="AZ18" s="206">
        <f>VLOOKUP(AY18,'Tarieven ZIN prestaties'!$B$1:$D$84,2,FALSE)</f>
        <v>54.96</v>
      </c>
      <c r="BA18" s="207"/>
      <c r="BD18" s="181" t="s">
        <v>1234</v>
      </c>
      <c r="BE18" s="209">
        <v>808</v>
      </c>
      <c r="BF18" s="182" t="s">
        <v>1278</v>
      </c>
      <c r="BG18" s="210">
        <f>VLOOKUP(BD18,'PGB tarieven'!$A$7:$M$53,13,FALSE)</f>
        <v>66954</v>
      </c>
      <c r="BH18" s="211">
        <f t="shared" si="5"/>
        <v>1284.0493150684931</v>
      </c>
      <c r="BI18" s="193"/>
      <c r="BJ18" s="193"/>
      <c r="BK18" s="212" t="s">
        <v>1231</v>
      </c>
      <c r="BL18" s="175">
        <f>VLOOKUP(BK18,'Ruimte behandeling basis MPT'!$A$2:$H$41,8,FALSE)</f>
        <v>0</v>
      </c>
      <c r="BM18" s="181" t="s">
        <v>1216</v>
      </c>
      <c r="BN18" s="209">
        <v>752</v>
      </c>
      <c r="BO18" s="182" t="s">
        <v>1244</v>
      </c>
      <c r="BP18" s="253">
        <f>VLOOKUP(BM18,'PGB tarieven'!$A$7:$M$53,13,FALSE)</f>
        <v>28247</v>
      </c>
      <c r="BQ18" s="211">
        <f t="shared" si="12"/>
        <v>541.72328767123281</v>
      </c>
      <c r="BR18" s="135">
        <f ca="1">IF(BT17&lt;0,0,4)</f>
        <v>4</v>
      </c>
      <c r="BY18" s="214" t="s">
        <v>1556</v>
      </c>
      <c r="BZ18" s="214">
        <v>2</v>
      </c>
      <c r="CA18" s="214"/>
      <c r="CB18" s="214"/>
      <c r="CC18" s="214"/>
      <c r="CD18" s="214"/>
      <c r="CE18" s="214"/>
      <c r="CF18" s="214"/>
      <c r="CG18" s="214"/>
      <c r="CH18" s="214"/>
      <c r="CI18" s="181" t="s">
        <v>1234</v>
      </c>
      <c r="CJ18" s="209" t="s">
        <v>1633</v>
      </c>
      <c r="CK18" s="215" t="s">
        <v>1244</v>
      </c>
      <c r="CL18" s="230" t="s">
        <v>1241</v>
      </c>
      <c r="CM18" s="231">
        <v>783</v>
      </c>
      <c r="CN18" s="232">
        <v>17176</v>
      </c>
      <c r="CO18" s="232">
        <f t="shared" si="8"/>
        <v>330.30769230769232</v>
      </c>
      <c r="CP18" s="231">
        <v>0</v>
      </c>
      <c r="CQ18" s="232">
        <f t="shared" si="9"/>
        <v>0</v>
      </c>
      <c r="CR18" s="232">
        <v>35682</v>
      </c>
      <c r="CS18" s="232">
        <f t="shared" si="10"/>
        <v>686.19230769230774</v>
      </c>
      <c r="CT18" s="232">
        <v>5487</v>
      </c>
      <c r="CU18" s="232">
        <f t="shared" si="11"/>
        <v>105.51923076923077</v>
      </c>
      <c r="CV18" s="232">
        <v>3357</v>
      </c>
      <c r="CW18" s="232">
        <v>61702</v>
      </c>
      <c r="CX18" s="233">
        <v>58345</v>
      </c>
      <c r="DK18" s="135">
        <f t="shared" si="2"/>
        <v>0</v>
      </c>
      <c r="DL18" s="135">
        <f t="shared" si="3"/>
        <v>0</v>
      </c>
      <c r="DM18" s="135">
        <f t="shared" si="4"/>
        <v>0</v>
      </c>
      <c r="DO18" s="142" t="s">
        <v>1755</v>
      </c>
      <c r="DP18" s="142" t="s">
        <v>1668</v>
      </c>
      <c r="DQ18" s="142" t="s">
        <v>1749</v>
      </c>
      <c r="DR18" s="142" t="s">
        <v>2661</v>
      </c>
      <c r="DS18" s="142" t="s">
        <v>1543</v>
      </c>
      <c r="DU18" s="181" t="s">
        <v>1236</v>
      </c>
      <c r="DV18" s="182" t="s">
        <v>1278</v>
      </c>
      <c r="DW18" s="135" t="s">
        <v>1631</v>
      </c>
      <c r="DX18" s="200">
        <f t="shared" si="13"/>
        <v>45</v>
      </c>
      <c r="DY18" s="254">
        <v>36</v>
      </c>
      <c r="EO18" s="135" t="s">
        <v>2808</v>
      </c>
      <c r="EP18" s="135" t="s">
        <v>2769</v>
      </c>
      <c r="ET18" s="135" t="s">
        <v>2821</v>
      </c>
      <c r="EU18" s="135" t="s">
        <v>2933</v>
      </c>
      <c r="EY18" s="135" t="s">
        <v>2654</v>
      </c>
      <c r="EZ18" s="135" t="s">
        <v>2862</v>
      </c>
      <c r="FA18" s="135" t="s">
        <v>3360</v>
      </c>
      <c r="FB18" s="135" t="str">
        <f t="shared" si="7"/>
        <v>7vgOpname</v>
      </c>
      <c r="FC18" s="156">
        <f>VLOOKUP(EZ18,'Tarieven ZZP'!$D$6:$J$134,7,FALSE)</f>
        <v>350.87</v>
      </c>
      <c r="FD18" s="156">
        <f t="shared" si="1"/>
        <v>2456.09</v>
      </c>
      <c r="FI18" s="181" t="s">
        <v>1199</v>
      </c>
      <c r="FJ18" s="135">
        <v>1</v>
      </c>
    </row>
    <row r="19" spans="1:166" ht="21" customHeight="1" thickBot="1" x14ac:dyDescent="0.45">
      <c r="A19" s="302"/>
      <c r="B19" s="285"/>
      <c r="C19" s="321">
        <f t="shared" si="14"/>
        <v>0</v>
      </c>
      <c r="D19" s="285"/>
      <c r="E19" s="285"/>
      <c r="F19" s="286"/>
      <c r="G19" s="287">
        <f t="shared" si="15"/>
        <v>0</v>
      </c>
      <c r="H19" s="363">
        <f t="shared" ref="H19:H27" si="18">U30</f>
        <v>0</v>
      </c>
      <c r="I19" s="364">
        <f t="shared" si="16"/>
        <v>0</v>
      </c>
      <c r="J19" s="305"/>
      <c r="K19" s="359">
        <f t="shared" si="17"/>
        <v>0</v>
      </c>
      <c r="L19" s="308"/>
      <c r="M19" s="482" t="s">
        <v>1812</v>
      </c>
      <c r="N19" s="483"/>
      <c r="O19" s="483"/>
      <c r="P19" s="483"/>
      <c r="Q19" s="483"/>
      <c r="R19" s="483"/>
      <c r="S19" s="302"/>
      <c r="T19" s="280">
        <f>IF(M12&gt;0,U19*125%,U19)</f>
        <v>0</v>
      </c>
      <c r="U19" s="280">
        <f>IFERROR(VLOOKUP($G$10,$BK$7:$BL$83,2,FALSE),0)</f>
        <v>0</v>
      </c>
      <c r="V19" s="238"/>
      <c r="W19" s="223"/>
      <c r="X19" s="223"/>
      <c r="Y19" s="224" t="s">
        <v>1235</v>
      </c>
      <c r="Z19" s="223"/>
      <c r="AA19" s="255"/>
      <c r="AB19" s="140">
        <v>0.95499999999999996</v>
      </c>
      <c r="AC19" s="146"/>
      <c r="AD19" s="146"/>
      <c r="AE19" s="142" t="s">
        <v>1750</v>
      </c>
      <c r="AF19" s="143"/>
      <c r="AG19" s="150"/>
      <c r="AH19" s="150"/>
      <c r="AI19" s="150"/>
      <c r="AJ19" s="135" t="s">
        <v>2815</v>
      </c>
      <c r="AK19" s="135" t="s">
        <v>2775</v>
      </c>
      <c r="AL19" s="151"/>
      <c r="AM19" s="151"/>
      <c r="AN19" s="170">
        <v>11</v>
      </c>
      <c r="AO19" s="170" t="s">
        <v>1550</v>
      </c>
      <c r="AP19" s="170">
        <v>3</v>
      </c>
      <c r="AQ19" s="170" t="s">
        <v>1557</v>
      </c>
      <c r="AR19" s="170">
        <v>3</v>
      </c>
      <c r="AS19" s="170" t="s">
        <v>1582</v>
      </c>
      <c r="AT19" s="170"/>
      <c r="AU19" s="170"/>
      <c r="AV19" s="170">
        <f>CEILING(AV18,1)</f>
        <v>0</v>
      </c>
      <c r="AW19" s="170"/>
      <c r="AX19" s="165" t="s">
        <v>1736</v>
      </c>
      <c r="AY19" s="135" t="s">
        <v>36</v>
      </c>
      <c r="AZ19" s="206">
        <f>VLOOKUP(AY19,'Tarieven ZIN prestaties'!$B$1:$D$84,2,FALSE)</f>
        <v>65.930000000000007</v>
      </c>
      <c r="BA19" s="207"/>
      <c r="BD19" s="181" t="s">
        <v>1235</v>
      </c>
      <c r="BE19" s="209">
        <v>810</v>
      </c>
      <c r="BF19" s="182" t="s">
        <v>1278</v>
      </c>
      <c r="BG19" s="210">
        <f>VLOOKUP(BD19,'PGB tarieven'!$A$7:$M$53,13,FALSE)</f>
        <v>62965</v>
      </c>
      <c r="BH19" s="211">
        <f t="shared" si="5"/>
        <v>1207.5479452054797</v>
      </c>
      <c r="BI19" s="193"/>
      <c r="BJ19" s="193"/>
      <c r="BK19" s="212" t="s">
        <v>1232</v>
      </c>
      <c r="BL19" s="175">
        <f>VLOOKUP(BK19,'Ruimte behandeling basis MPT'!$A$2:$H$41,8,FALSE)</f>
        <v>155.26630840628883</v>
      </c>
      <c r="BM19" s="181" t="s">
        <v>1217</v>
      </c>
      <c r="BN19" s="209">
        <v>753</v>
      </c>
      <c r="BO19" s="182" t="s">
        <v>1244</v>
      </c>
      <c r="BP19" s="253">
        <f>VLOOKUP(BM19,'PGB tarieven'!$A$7:$M$53,13,FALSE)</f>
        <v>37848</v>
      </c>
      <c r="BQ19" s="211">
        <f t="shared" si="12"/>
        <v>725.85205479452054</v>
      </c>
      <c r="BR19" s="135">
        <f ca="1">IF(BT8=0,8,0)</f>
        <v>0</v>
      </c>
      <c r="BY19" s="214" t="s">
        <v>1557</v>
      </c>
      <c r="BZ19" s="214">
        <v>3</v>
      </c>
      <c r="CA19" s="214"/>
      <c r="CB19" s="214"/>
      <c r="CC19" s="214"/>
      <c r="CD19" s="214"/>
      <c r="CE19" s="214"/>
      <c r="CF19" s="214"/>
      <c r="CG19" s="214"/>
      <c r="CH19" s="214"/>
      <c r="CI19" s="181" t="s">
        <v>1235</v>
      </c>
      <c r="CJ19" s="209" t="s">
        <v>1633</v>
      </c>
      <c r="CK19" s="215" t="s">
        <v>1244</v>
      </c>
      <c r="CL19" s="235" t="s">
        <v>1242</v>
      </c>
      <c r="CM19" s="236">
        <v>784</v>
      </c>
      <c r="CN19" s="237">
        <v>17176</v>
      </c>
      <c r="CO19" s="232">
        <f t="shared" si="8"/>
        <v>330.30769230769232</v>
      </c>
      <c r="CP19" s="236">
        <v>0</v>
      </c>
      <c r="CQ19" s="232">
        <f t="shared" si="9"/>
        <v>0</v>
      </c>
      <c r="CR19" s="237">
        <v>35682</v>
      </c>
      <c r="CS19" s="232">
        <f t="shared" si="10"/>
        <v>686.19230769230774</v>
      </c>
      <c r="CT19" s="237">
        <v>5487</v>
      </c>
      <c r="CU19" s="232">
        <f t="shared" si="11"/>
        <v>105.51923076923077</v>
      </c>
      <c r="CV19" s="237">
        <v>3357</v>
      </c>
      <c r="CW19" s="237">
        <v>61702</v>
      </c>
      <c r="CX19" s="233">
        <v>58345</v>
      </c>
      <c r="CZ19" s="135">
        <f>SUMIFS(F18:F31,B18:B31,"BGgrp",G18:G31,"minuten")</f>
        <v>0</v>
      </c>
      <c r="DA19" s="135">
        <f>CZ19/60</f>
        <v>0</v>
      </c>
      <c r="DK19" s="135">
        <f t="shared" si="2"/>
        <v>0</v>
      </c>
      <c r="DL19" s="135">
        <f t="shared" si="3"/>
        <v>0</v>
      </c>
      <c r="DM19" s="135">
        <f t="shared" si="4"/>
        <v>0</v>
      </c>
      <c r="DO19" s="142" t="s">
        <v>1758</v>
      </c>
      <c r="DP19" s="142" t="s">
        <v>1752</v>
      </c>
      <c r="DQ19" s="142" t="s">
        <v>1750</v>
      </c>
      <c r="DR19" s="142" t="s">
        <v>2662</v>
      </c>
      <c r="DS19" s="142" t="s">
        <v>1543</v>
      </c>
      <c r="DU19" s="181" t="s">
        <v>1237</v>
      </c>
      <c r="DV19" s="182" t="s">
        <v>1278</v>
      </c>
      <c r="DW19" s="135" t="s">
        <v>1631</v>
      </c>
      <c r="DX19" s="200">
        <f t="shared" si="13"/>
        <v>37.5</v>
      </c>
      <c r="DY19" s="254">
        <v>30</v>
      </c>
      <c r="EO19" s="135" t="s">
        <v>2816</v>
      </c>
      <c r="EP19" s="135" t="s">
        <v>2929</v>
      </c>
      <c r="ET19" s="135" t="s">
        <v>2836</v>
      </c>
      <c r="EU19" s="135" t="s">
        <v>2774</v>
      </c>
      <c r="EY19" s="135" t="s">
        <v>2655</v>
      </c>
      <c r="EZ19" s="135" t="s">
        <v>2863</v>
      </c>
      <c r="FA19" s="135" t="s">
        <v>3360</v>
      </c>
      <c r="FB19" s="135" t="str">
        <f t="shared" si="7"/>
        <v>8vgOpname</v>
      </c>
      <c r="FC19" s="156">
        <f>VLOOKUP(EZ19,'Tarieven ZZP'!$D$6:$J$134,7,FALSE)</f>
        <v>345.41</v>
      </c>
      <c r="FD19" s="156">
        <f t="shared" si="1"/>
        <v>2417.8700000000003</v>
      </c>
      <c r="FI19" s="181" t="s">
        <v>1200</v>
      </c>
      <c r="FJ19" s="135">
        <v>1</v>
      </c>
    </row>
    <row r="20" spans="1:166" ht="21" customHeight="1" thickBot="1" x14ac:dyDescent="0.35">
      <c r="A20" s="302"/>
      <c r="B20" s="285"/>
      <c r="C20" s="321">
        <f t="shared" si="14"/>
        <v>0</v>
      </c>
      <c r="D20" s="285"/>
      <c r="E20" s="285"/>
      <c r="F20" s="286"/>
      <c r="G20" s="287">
        <f t="shared" si="15"/>
        <v>0</v>
      </c>
      <c r="H20" s="363">
        <f t="shared" si="18"/>
        <v>0</v>
      </c>
      <c r="I20" s="364">
        <f t="shared" si="16"/>
        <v>0</v>
      </c>
      <c r="J20" s="305"/>
      <c r="K20" s="359">
        <f t="shared" si="17"/>
        <v>0</v>
      </c>
      <c r="L20" s="309"/>
      <c r="M20" s="480" t="str">
        <f ca="1">IFERROR(IF(Q24="gespecialiseerde verpleging",BS22,VLOOKUP(BR20,BR22:BS276,2,FALSE))," ")</f>
        <v>Eerst zorgvraag invullen</v>
      </c>
      <c r="N20" s="480"/>
      <c r="O20" s="480"/>
      <c r="P20" s="481"/>
      <c r="Q20" s="481"/>
      <c r="R20" s="481"/>
      <c r="S20" s="302"/>
      <c r="T20" s="281">
        <f ca="1">BW14</f>
        <v>0</v>
      </c>
      <c r="U20" s="256" t="s">
        <v>13</v>
      </c>
      <c r="V20" s="238"/>
      <c r="W20" s="223"/>
      <c r="X20" s="223"/>
      <c r="Y20" s="224" t="s">
        <v>1236</v>
      </c>
      <c r="Z20" s="223"/>
      <c r="AA20" s="255"/>
      <c r="AB20" s="140">
        <v>0.96</v>
      </c>
      <c r="AC20" s="146"/>
      <c r="AD20" s="146"/>
      <c r="AE20" s="142" t="s">
        <v>1668</v>
      </c>
      <c r="AF20" s="143"/>
      <c r="AG20" s="150"/>
      <c r="AH20" s="150"/>
      <c r="AI20" s="150"/>
      <c r="AJ20" s="135" t="s">
        <v>2816</v>
      </c>
      <c r="AK20" s="135" t="s">
        <v>2776</v>
      </c>
      <c r="AL20" s="151"/>
      <c r="AM20" s="151"/>
      <c r="AN20" s="170">
        <v>12</v>
      </c>
      <c r="AO20" s="170" t="s">
        <v>1550</v>
      </c>
      <c r="AP20" s="170">
        <v>4</v>
      </c>
      <c r="AQ20" s="170" t="s">
        <v>1558</v>
      </c>
      <c r="AR20" s="170">
        <v>4</v>
      </c>
      <c r="AS20" s="170" t="s">
        <v>1583</v>
      </c>
      <c r="AT20" s="170"/>
      <c r="AU20" s="170"/>
      <c r="AV20" s="170"/>
      <c r="AW20" s="170"/>
      <c r="AX20" s="165" t="s">
        <v>1653</v>
      </c>
      <c r="AY20" s="135" t="s">
        <v>22</v>
      </c>
      <c r="AZ20" s="206">
        <f>VLOOKUP(AY20,'Tarieven ZIN prestaties'!$B$1:$D$84,2,FALSE)</f>
        <v>98.2</v>
      </c>
      <c r="BA20" s="207"/>
      <c r="BD20" s="181" t="s">
        <v>1236</v>
      </c>
      <c r="BE20" s="209">
        <v>812</v>
      </c>
      <c r="BF20" s="182" t="s">
        <v>1278</v>
      </c>
      <c r="BG20" s="210">
        <f>VLOOKUP(BD20,'PGB tarieven'!$A$7:$M$53,13,FALSE)</f>
        <v>83583</v>
      </c>
      <c r="BH20" s="211">
        <f t="shared" si="5"/>
        <v>1602.9616438356163</v>
      </c>
      <c r="BI20" s="193"/>
      <c r="BJ20" s="193"/>
      <c r="BK20" s="212" t="s">
        <v>1233</v>
      </c>
      <c r="BL20" s="175">
        <f>VLOOKUP(BK20,'Ruimte behandeling basis MPT'!$A$2:$H$41,8,FALSE)</f>
        <v>265.65443599044096</v>
      </c>
      <c r="BM20" s="181" t="s">
        <v>1218</v>
      </c>
      <c r="BN20" s="209">
        <v>754</v>
      </c>
      <c r="BO20" s="182" t="s">
        <v>1244</v>
      </c>
      <c r="BP20" s="253">
        <f>VLOOKUP(BM20,'PGB tarieven'!$A$7:$M$53,13,FALSE)</f>
        <v>51351</v>
      </c>
      <c r="BQ20" s="211">
        <f t="shared" si="12"/>
        <v>984.81369863013697</v>
      </c>
      <c r="BR20" s="135">
        <f ca="1">IF(AND(BR21=2085,M17&lt;I35),2,BR21)</f>
        <v>1105</v>
      </c>
      <c r="BS20" s="135">
        <f ca="1">IF(E45=0,100,0)</f>
        <v>100</v>
      </c>
      <c r="BT20" s="135">
        <f>IF(R21="ja",80,0)</f>
        <v>0</v>
      </c>
      <c r="BU20" s="135">
        <f>IF(G12="ja",500,0)</f>
        <v>0</v>
      </c>
      <c r="BV20" s="135">
        <f>IF(R21="ja",1000,0)</f>
        <v>0</v>
      </c>
      <c r="BW20" s="135">
        <f>IF(Q24="palliatief terminale zorg",1000,0)</f>
        <v>0</v>
      </c>
      <c r="BY20" s="214" t="s">
        <v>1558</v>
      </c>
      <c r="BZ20" s="214">
        <v>4</v>
      </c>
      <c r="CA20" s="214"/>
      <c r="CB20" s="214"/>
      <c r="CC20" s="214"/>
      <c r="CD20" s="214"/>
      <c r="CE20" s="214"/>
      <c r="CF20" s="214"/>
      <c r="CG20" s="214"/>
      <c r="CH20" s="214"/>
      <c r="CI20" s="181" t="s">
        <v>1236</v>
      </c>
      <c r="CJ20" s="209" t="s">
        <v>1633</v>
      </c>
      <c r="CK20" s="215" t="s">
        <v>1244</v>
      </c>
      <c r="CL20" s="230" t="s">
        <v>1243</v>
      </c>
      <c r="CM20" s="231">
        <v>790</v>
      </c>
      <c r="CN20" s="232">
        <v>8220</v>
      </c>
      <c r="CO20" s="232">
        <f t="shared" si="8"/>
        <v>158.07692307692307</v>
      </c>
      <c r="CP20" s="231">
        <v>0</v>
      </c>
      <c r="CQ20" s="232">
        <f t="shared" si="9"/>
        <v>0</v>
      </c>
      <c r="CR20" s="232">
        <v>35682</v>
      </c>
      <c r="CS20" s="232">
        <f t="shared" si="10"/>
        <v>686.19230769230774</v>
      </c>
      <c r="CT20" s="232">
        <v>8232</v>
      </c>
      <c r="CU20" s="232">
        <f t="shared" si="11"/>
        <v>158.30769230769232</v>
      </c>
      <c r="CV20" s="232">
        <v>3357</v>
      </c>
      <c r="CW20" s="232">
        <v>55491</v>
      </c>
      <c r="CX20" s="233">
        <v>52134</v>
      </c>
      <c r="CZ20" s="135">
        <f>SUMIFS(F18:F31,B18:B31,"BGgrp",G18:G31,"Dagdelen")</f>
        <v>0</v>
      </c>
      <c r="DO20" s="142" t="s">
        <v>1761</v>
      </c>
      <c r="DP20" s="142" t="s">
        <v>1753</v>
      </c>
      <c r="DQ20" s="142" t="s">
        <v>1668</v>
      </c>
      <c r="DR20" s="142" t="s">
        <v>2663</v>
      </c>
      <c r="DS20" s="142" t="s">
        <v>1543</v>
      </c>
      <c r="DU20" s="181" t="s">
        <v>1198</v>
      </c>
      <c r="DV20" s="182" t="s">
        <v>1278</v>
      </c>
      <c r="DW20" s="135" t="s">
        <v>1598</v>
      </c>
      <c r="DX20" s="200">
        <f t="shared" si="13"/>
        <v>18.125</v>
      </c>
      <c r="DY20" s="135">
        <v>14.5</v>
      </c>
      <c r="EO20" s="135" t="s">
        <v>2809</v>
      </c>
      <c r="EP20" s="135" t="s">
        <v>2770</v>
      </c>
      <c r="ET20" s="135" t="s">
        <v>2838</v>
      </c>
      <c r="EU20" s="135" t="s">
        <v>2934</v>
      </c>
      <c r="EY20" s="135" t="s">
        <v>2691</v>
      </c>
      <c r="EZ20" s="135" t="s">
        <v>2864</v>
      </c>
      <c r="FA20" s="135" t="s">
        <v>3360</v>
      </c>
      <c r="FB20" s="135" t="str">
        <f t="shared" si="7"/>
        <v>1lvgOpname</v>
      </c>
      <c r="FC20" s="156">
        <f>VLOOKUP(EZ20,'Tarieven ZZP'!$D$6:$J$134,7,FALSE)</f>
        <v>218.26</v>
      </c>
      <c r="FD20" s="156">
        <f t="shared" si="1"/>
        <v>1527.82</v>
      </c>
      <c r="FI20" s="181" t="s">
        <v>1201</v>
      </c>
      <c r="FJ20" s="135">
        <v>1</v>
      </c>
    </row>
    <row r="21" spans="1:166" ht="21" customHeight="1" thickBot="1" x14ac:dyDescent="0.35">
      <c r="A21" s="302"/>
      <c r="B21" s="285"/>
      <c r="C21" s="321">
        <f t="shared" si="14"/>
        <v>0</v>
      </c>
      <c r="D21" s="285"/>
      <c r="E21" s="285"/>
      <c r="F21" s="286"/>
      <c r="G21" s="287">
        <f t="shared" si="15"/>
        <v>0</v>
      </c>
      <c r="H21" s="363">
        <f t="shared" si="18"/>
        <v>0</v>
      </c>
      <c r="I21" s="364">
        <f t="shared" si="16"/>
        <v>0</v>
      </c>
      <c r="J21" s="305"/>
      <c r="K21" s="359">
        <f t="shared" si="17"/>
        <v>0</v>
      </c>
      <c r="L21" s="303"/>
      <c r="M21" s="320" t="s">
        <v>1696</v>
      </c>
      <c r="N21" s="323"/>
      <c r="O21" s="324"/>
      <c r="P21" s="324"/>
      <c r="Q21" s="316"/>
      <c r="R21" s="356"/>
      <c r="S21" s="302"/>
      <c r="T21" s="135">
        <f ca="1">IF(M20="PGB: rekenmodule voorleggen aan zorgkantoor",1,0)</f>
        <v>0</v>
      </c>
      <c r="V21" s="258"/>
      <c r="W21" s="259"/>
      <c r="X21" s="259"/>
      <c r="Y21" s="257" t="s">
        <v>1237</v>
      </c>
      <c r="Z21" s="259"/>
      <c r="AA21" s="260"/>
      <c r="AB21" s="140">
        <v>0.96499999999999997</v>
      </c>
      <c r="AC21" s="146"/>
      <c r="AD21" s="146"/>
      <c r="AE21" s="142" t="s">
        <v>1752</v>
      </c>
      <c r="AF21" s="143"/>
      <c r="AG21" s="150"/>
      <c r="AH21" s="150"/>
      <c r="AI21" s="150"/>
      <c r="AJ21" s="135" t="s">
        <v>2817</v>
      </c>
      <c r="AK21" s="135" t="s">
        <v>2777</v>
      </c>
      <c r="AL21" s="151"/>
      <c r="AM21" s="151"/>
      <c r="AN21" s="170">
        <v>13</v>
      </c>
      <c r="AO21" s="170" t="s">
        <v>1551</v>
      </c>
      <c r="AP21" s="170">
        <v>5</v>
      </c>
      <c r="AQ21" s="170" t="s">
        <v>1559</v>
      </c>
      <c r="AR21" s="170">
        <v>5</v>
      </c>
      <c r="AS21" s="170" t="s">
        <v>1584</v>
      </c>
      <c r="AT21" s="170"/>
      <c r="AU21" s="170"/>
      <c r="AV21" s="170"/>
      <c r="AW21" s="170"/>
      <c r="AX21" s="165" t="s">
        <v>1737</v>
      </c>
      <c r="AY21" s="135" t="s">
        <v>32</v>
      </c>
      <c r="AZ21" s="206">
        <f>VLOOKUP(AY21,'Tarieven ZIN prestaties'!$B$1:$D$84,2,FALSE)</f>
        <v>105.29</v>
      </c>
      <c r="BA21" s="207"/>
      <c r="BD21" s="181" t="s">
        <v>1237</v>
      </c>
      <c r="BE21" s="209">
        <v>814</v>
      </c>
      <c r="BF21" s="182" t="s">
        <v>1278</v>
      </c>
      <c r="BG21" s="210">
        <f>VLOOKUP(BD21,'PGB tarieven'!$A$7:$M$53,13,FALSE)</f>
        <v>73666</v>
      </c>
      <c r="BH21" s="211">
        <f t="shared" si="5"/>
        <v>1412.7726027397259</v>
      </c>
      <c r="BI21" s="193"/>
      <c r="BJ21" s="193"/>
      <c r="BK21" s="212" t="s">
        <v>1234</v>
      </c>
      <c r="BL21" s="175">
        <f>VLOOKUP(BK21,'Ruimte behandeling basis MPT'!$A$2:$H$41,8,FALSE)</f>
        <v>222.21990190689093</v>
      </c>
      <c r="BM21" s="181" t="s">
        <v>1219</v>
      </c>
      <c r="BN21" s="209">
        <v>755</v>
      </c>
      <c r="BO21" s="182" t="s">
        <v>1244</v>
      </c>
      <c r="BP21" s="253">
        <f>VLOOKUP(BM21,'PGB tarieven'!$A$7:$M$53,13,FALSE)</f>
        <v>51351</v>
      </c>
      <c r="BQ21" s="211">
        <f t="shared" si="12"/>
        <v>984.81369863013697</v>
      </c>
      <c r="BR21" s="135">
        <f ca="1">IF(AND(F5="opname",SUM(F18:F20)=16),1,IF(AND(F5="VPT",SUM(F18:F20)=16),1,$BR$14+$BR$18+$BR$9+$BR$19+$BS$20+$BT$20+$BU$20+$BV$20+$BW$21))</f>
        <v>1105</v>
      </c>
      <c r="BW21" s="135">
        <f ca="1">IF(OR(BW20=1000,K35&lt;126%),1000,0)</f>
        <v>1000</v>
      </c>
      <c r="BY21" s="214" t="s">
        <v>1559</v>
      </c>
      <c r="BZ21" s="214">
        <v>5</v>
      </c>
      <c r="CA21" s="214"/>
      <c r="CB21" s="214"/>
      <c r="CC21" s="214"/>
      <c r="CD21" s="214"/>
      <c r="CE21" s="214"/>
      <c r="CF21" s="214"/>
      <c r="CG21" s="214"/>
      <c r="CH21" s="214"/>
      <c r="CI21" s="181" t="s">
        <v>1237</v>
      </c>
      <c r="CJ21" s="209" t="s">
        <v>1633</v>
      </c>
      <c r="CK21" s="215" t="s">
        <v>1244</v>
      </c>
      <c r="CL21" s="235" t="s">
        <v>1230</v>
      </c>
      <c r="CM21" s="236">
        <v>800</v>
      </c>
      <c r="CN21" s="237">
        <v>4491</v>
      </c>
      <c r="CO21" s="232">
        <f t="shared" si="8"/>
        <v>86.365384615384613</v>
      </c>
      <c r="CP21" s="236">
        <v>0</v>
      </c>
      <c r="CQ21" s="232">
        <f t="shared" si="9"/>
        <v>0</v>
      </c>
      <c r="CR21" s="237">
        <v>10907</v>
      </c>
      <c r="CS21" s="232">
        <f t="shared" si="10"/>
        <v>209.75</v>
      </c>
      <c r="CT21" s="237">
        <v>13721</v>
      </c>
      <c r="CU21" s="232">
        <f t="shared" si="11"/>
        <v>263.86538461538464</v>
      </c>
      <c r="CV21" s="237">
        <v>3357</v>
      </c>
      <c r="CW21" s="237">
        <v>32476</v>
      </c>
      <c r="CX21" s="233">
        <v>29119</v>
      </c>
      <c r="DO21" s="142" t="s">
        <v>1764</v>
      </c>
      <c r="DP21" s="142" t="s">
        <v>1755</v>
      </c>
      <c r="DQ21" s="142" t="s">
        <v>1752</v>
      </c>
      <c r="DR21" s="142" t="s">
        <v>2664</v>
      </c>
      <c r="DS21" s="142" t="s">
        <v>1543</v>
      </c>
      <c r="DU21" s="181" t="s">
        <v>1199</v>
      </c>
      <c r="DV21" s="182" t="s">
        <v>1278</v>
      </c>
      <c r="DW21" s="135" t="s">
        <v>1598</v>
      </c>
      <c r="DX21" s="200">
        <f t="shared" si="13"/>
        <v>25</v>
      </c>
      <c r="DY21" s="135">
        <v>20</v>
      </c>
      <c r="EO21" s="135" t="s">
        <v>2817</v>
      </c>
      <c r="EP21" s="135" t="s">
        <v>2930</v>
      </c>
      <c r="ET21" s="135" t="s">
        <v>2837</v>
      </c>
      <c r="EU21" s="135" t="s">
        <v>2775</v>
      </c>
      <c r="EY21" s="135" t="s">
        <v>2692</v>
      </c>
      <c r="EZ21" s="135" t="s">
        <v>2865</v>
      </c>
      <c r="FA21" s="135" t="s">
        <v>3360</v>
      </c>
      <c r="FB21" s="135" t="str">
        <f t="shared" si="7"/>
        <v>2lvgOpname</v>
      </c>
      <c r="FC21" s="156">
        <f>VLOOKUP(EZ21,'Tarieven ZZP'!$D$6:$J$134,7,FALSE)</f>
        <v>259.58</v>
      </c>
      <c r="FD21" s="156">
        <f t="shared" si="1"/>
        <v>1817.06</v>
      </c>
      <c r="FI21" s="181" t="s">
        <v>1202</v>
      </c>
      <c r="FJ21" s="135">
        <v>1</v>
      </c>
    </row>
    <row r="22" spans="1:166" ht="21" customHeight="1" thickBot="1" x14ac:dyDescent="0.35">
      <c r="A22" s="302"/>
      <c r="B22" s="285"/>
      <c r="C22" s="321">
        <f t="shared" si="14"/>
        <v>0</v>
      </c>
      <c r="D22" s="285"/>
      <c r="E22" s="285"/>
      <c r="F22" s="286"/>
      <c r="G22" s="287">
        <f t="shared" si="15"/>
        <v>0</v>
      </c>
      <c r="H22" s="363">
        <f t="shared" si="18"/>
        <v>0</v>
      </c>
      <c r="I22" s="364">
        <f t="shared" si="16"/>
        <v>0</v>
      </c>
      <c r="J22" s="305"/>
      <c r="K22" s="359">
        <f t="shared" si="17"/>
        <v>0</v>
      </c>
      <c r="L22" s="303"/>
      <c r="M22" s="320" t="s">
        <v>1601</v>
      </c>
      <c r="N22" s="323"/>
      <c r="O22" s="324"/>
      <c r="P22" s="324"/>
      <c r="Q22" s="472"/>
      <c r="R22" s="472"/>
      <c r="S22" s="302"/>
      <c r="T22" s="135">
        <f ca="1">IF(I32&gt;T1,2,0)</f>
        <v>0</v>
      </c>
      <c r="X22" s="390" t="s">
        <v>3463</v>
      </c>
      <c r="Y22" s="141" t="s">
        <v>3470</v>
      </c>
      <c r="Z22" s="389" t="s">
        <v>3509</v>
      </c>
      <c r="AB22" s="140">
        <v>0.97</v>
      </c>
      <c r="AC22" s="146"/>
      <c r="AD22" s="146"/>
      <c r="AE22" s="142" t="s">
        <v>1753</v>
      </c>
      <c r="AF22" s="143"/>
      <c r="AG22" s="150"/>
      <c r="AH22" s="150"/>
      <c r="AI22" s="150"/>
      <c r="AJ22" s="135" t="s">
        <v>2818</v>
      </c>
      <c r="AK22" s="135" t="s">
        <v>2778</v>
      </c>
      <c r="AL22" s="151"/>
      <c r="AM22" s="151"/>
      <c r="AN22" s="170">
        <v>14</v>
      </c>
      <c r="AO22" s="170" t="s">
        <v>1551</v>
      </c>
      <c r="AP22" s="170">
        <v>6</v>
      </c>
      <c r="AQ22" s="170" t="s">
        <v>1560</v>
      </c>
      <c r="AR22" s="170">
        <v>6</v>
      </c>
      <c r="AS22" s="170" t="s">
        <v>1585</v>
      </c>
      <c r="AT22" s="170"/>
      <c r="AU22" s="170"/>
      <c r="AV22" s="170"/>
      <c r="AW22" s="170"/>
      <c r="AX22" s="165" t="s">
        <v>1666</v>
      </c>
      <c r="AY22" s="135" t="s">
        <v>528</v>
      </c>
      <c r="AZ22" s="206">
        <f>VLOOKUP(AY22,'Tarieven ZIN prestaties'!$B$1:$D$84,2,FALSE)</f>
        <v>97.16</v>
      </c>
      <c r="BA22" s="207"/>
      <c r="BD22" s="181" t="s">
        <v>1198</v>
      </c>
      <c r="BE22" s="209">
        <v>820</v>
      </c>
      <c r="BF22" s="182" t="s">
        <v>1278</v>
      </c>
      <c r="BG22" s="210">
        <f>VLOOKUP(BD22,'PGB tarieven'!$A$7:$M$53,13,FALSE)</f>
        <v>46037</v>
      </c>
      <c r="BH22" s="211">
        <f t="shared" si="5"/>
        <v>882.90136986301377</v>
      </c>
      <c r="BI22" s="193"/>
      <c r="BJ22" s="193"/>
      <c r="BK22" s="212" t="s">
        <v>1235</v>
      </c>
      <c r="BL22" s="175">
        <f>VLOOKUP(BK22,'Ruimte behandeling basis MPT'!$A$2:$H$41,8,FALSE)</f>
        <v>295.10335560496634</v>
      </c>
      <c r="BM22" s="181" t="s">
        <v>1220</v>
      </c>
      <c r="BN22" s="209">
        <v>756</v>
      </c>
      <c r="BO22" s="182" t="s">
        <v>1244</v>
      </c>
      <c r="BP22" s="253">
        <f>VLOOKUP(BM22,'PGB tarieven'!$A$7:$M$53,13,FALSE)</f>
        <v>64324</v>
      </c>
      <c r="BQ22" s="211">
        <f t="shared" si="12"/>
        <v>1233.6109589041096</v>
      </c>
      <c r="BR22" s="135">
        <v>1</v>
      </c>
      <c r="BS22" s="135" t="s">
        <v>1813</v>
      </c>
      <c r="BY22" s="214" t="s">
        <v>1560</v>
      </c>
      <c r="BZ22" s="214">
        <v>6</v>
      </c>
      <c r="CA22" s="214"/>
      <c r="CB22" s="214"/>
      <c r="CC22" s="214"/>
      <c r="CD22" s="214"/>
      <c r="CE22" s="214"/>
      <c r="CF22" s="214"/>
      <c r="CG22" s="214"/>
      <c r="CH22" s="214"/>
      <c r="CI22" s="181" t="s">
        <v>1198</v>
      </c>
      <c r="CJ22" s="209" t="s">
        <v>1633</v>
      </c>
      <c r="CK22" s="215" t="s">
        <v>1244</v>
      </c>
      <c r="CL22" s="230" t="s">
        <v>1231</v>
      </c>
      <c r="CM22" s="231">
        <v>802</v>
      </c>
      <c r="CN22" s="232">
        <v>4491</v>
      </c>
      <c r="CO22" s="232">
        <f t="shared" si="8"/>
        <v>86.365384615384613</v>
      </c>
      <c r="CP22" s="231">
        <v>0</v>
      </c>
      <c r="CQ22" s="232">
        <f t="shared" si="9"/>
        <v>0</v>
      </c>
      <c r="CR22" s="232">
        <v>16866</v>
      </c>
      <c r="CS22" s="232">
        <f t="shared" si="10"/>
        <v>324.34615384615387</v>
      </c>
      <c r="CT22" s="232">
        <v>13721</v>
      </c>
      <c r="CU22" s="232">
        <f t="shared" si="11"/>
        <v>263.86538461538464</v>
      </c>
      <c r="CV22" s="232">
        <v>3357</v>
      </c>
      <c r="CW22" s="232">
        <v>38435</v>
      </c>
      <c r="CX22" s="233">
        <v>35078</v>
      </c>
      <c r="DO22" s="142" t="s">
        <v>1767</v>
      </c>
      <c r="DP22" s="142" t="s">
        <v>1756</v>
      </c>
      <c r="DQ22" s="142" t="s">
        <v>1753</v>
      </c>
      <c r="DR22" s="142" t="s">
        <v>2665</v>
      </c>
      <c r="DS22" s="142" t="s">
        <v>1543</v>
      </c>
      <c r="DU22" s="181" t="s">
        <v>1200</v>
      </c>
      <c r="DV22" s="182" t="s">
        <v>1278</v>
      </c>
      <c r="DW22" s="135" t="s">
        <v>1598</v>
      </c>
      <c r="DX22" s="200">
        <f t="shared" si="13"/>
        <v>25</v>
      </c>
      <c r="DY22" s="135">
        <v>20</v>
      </c>
      <c r="EO22" s="135" t="s">
        <v>2810</v>
      </c>
      <c r="EP22" s="135" t="s">
        <v>2771</v>
      </c>
      <c r="ET22" s="135" t="s">
        <v>2839</v>
      </c>
      <c r="EU22" s="135" t="s">
        <v>2935</v>
      </c>
      <c r="EY22" s="135" t="s">
        <v>2693</v>
      </c>
      <c r="EZ22" s="135" t="s">
        <v>2866</v>
      </c>
      <c r="FA22" s="135" t="s">
        <v>3360</v>
      </c>
      <c r="FB22" s="135" t="str">
        <f t="shared" si="7"/>
        <v>3lvgOpname</v>
      </c>
      <c r="FC22" s="156">
        <f>VLOOKUP(EZ22,'Tarieven ZZP'!$D$6:$J$134,7,FALSE)</f>
        <v>337.38</v>
      </c>
      <c r="FD22" s="156">
        <f t="shared" si="1"/>
        <v>2361.66</v>
      </c>
      <c r="FI22" s="181" t="s">
        <v>1203</v>
      </c>
      <c r="FJ22" s="135">
        <v>1</v>
      </c>
    </row>
    <row r="23" spans="1:166" ht="21" customHeight="1" thickBot="1" x14ac:dyDescent="0.35">
      <c r="A23" s="302"/>
      <c r="B23" s="285"/>
      <c r="C23" s="321">
        <f t="shared" si="14"/>
        <v>0</v>
      </c>
      <c r="D23" s="285"/>
      <c r="E23" s="285"/>
      <c r="F23" s="286"/>
      <c r="G23" s="287">
        <f>DM11</f>
        <v>0</v>
      </c>
      <c r="H23" s="363">
        <f t="shared" si="18"/>
        <v>0</v>
      </c>
      <c r="I23" s="364">
        <f t="shared" si="16"/>
        <v>0</v>
      </c>
      <c r="J23" s="305"/>
      <c r="K23" s="359">
        <f t="shared" si="17"/>
        <v>0</v>
      </c>
      <c r="L23" s="303"/>
      <c r="M23" s="320" t="s">
        <v>1691</v>
      </c>
      <c r="N23" s="323"/>
      <c r="O23" s="323"/>
      <c r="P23" s="323"/>
      <c r="Q23" s="472"/>
      <c r="R23" s="472"/>
      <c r="S23" s="302"/>
      <c r="T23" s="135">
        <f ca="1">SUM(T21:T22)</f>
        <v>0</v>
      </c>
      <c r="V23" s="135" t="s">
        <v>1692</v>
      </c>
      <c r="W23" s="135" t="s">
        <v>1692</v>
      </c>
      <c r="X23" s="390" t="str">
        <f>IF(Q22="Ja; extra kosten thuis",X25,IF(Q22="Ja; ouder met kind jonger dan 18 die thuis woont",X26,IF(Q22="Ja; sprake van betaalde arbeid",X27,"")))</f>
        <v/>
      </c>
      <c r="Y23" s="141" t="str">
        <f>IF(Q23="ja invasieve beademing","invasieve beademing",IF(Q23="ja non-invasieve beademing","non-invasieve beademing",""))</f>
        <v/>
      </c>
      <c r="Z23" s="389" t="s">
        <v>3511</v>
      </c>
      <c r="AB23" s="140">
        <v>0.97499999999999998</v>
      </c>
      <c r="AC23" s="146"/>
      <c r="AD23" s="146"/>
      <c r="AE23" s="142" t="s">
        <v>1754</v>
      </c>
      <c r="AF23" s="143"/>
      <c r="AG23" s="150"/>
      <c r="AH23" s="150"/>
      <c r="AI23" s="150"/>
      <c r="AJ23" s="135" t="s">
        <v>2819</v>
      </c>
      <c r="AK23" s="135" t="s">
        <v>2779</v>
      </c>
      <c r="AL23" s="151"/>
      <c r="AM23" s="151"/>
      <c r="AN23" s="170">
        <v>15</v>
      </c>
      <c r="AO23" s="170" t="s">
        <v>1551</v>
      </c>
      <c r="AP23" s="170">
        <v>7</v>
      </c>
      <c r="AQ23" s="170" t="s">
        <v>1561</v>
      </c>
      <c r="AR23" s="170">
        <v>7</v>
      </c>
      <c r="AS23" s="170" t="s">
        <v>1586</v>
      </c>
      <c r="AT23" s="170"/>
      <c r="AU23" s="170"/>
      <c r="AV23" s="170"/>
      <c r="AW23" s="170"/>
      <c r="AX23" s="165" t="s">
        <v>1652</v>
      </c>
      <c r="AY23" s="135" t="s">
        <v>24</v>
      </c>
      <c r="AZ23" s="206">
        <f>VLOOKUP(AY23,'Tarieven ZIN prestaties'!$B$1:$D$84,2,FALSE)</f>
        <v>61.56</v>
      </c>
      <c r="BA23" s="207"/>
      <c r="BD23" s="181" t="s">
        <v>1199</v>
      </c>
      <c r="BE23" s="209">
        <v>822</v>
      </c>
      <c r="BF23" s="182" t="s">
        <v>1278</v>
      </c>
      <c r="BG23" s="210">
        <f>VLOOKUP(BD23,'PGB tarieven'!$A$7:$M$53,13,FALSE)</f>
        <v>55011</v>
      </c>
      <c r="BH23" s="211">
        <f t="shared" si="5"/>
        <v>1055.0054794520547</v>
      </c>
      <c r="BI23" s="193"/>
      <c r="BJ23" s="193"/>
      <c r="BK23" s="212" t="s">
        <v>1236</v>
      </c>
      <c r="BL23" s="175">
        <f>VLOOKUP(BK23,'Ruimte behandeling basis MPT'!$A$2:$H$41,8,FALSE)</f>
        <v>513.85928457185184</v>
      </c>
      <c r="BM23" s="181" t="s">
        <v>1221</v>
      </c>
      <c r="BN23" s="209">
        <v>757</v>
      </c>
      <c r="BO23" s="182" t="s">
        <v>1244</v>
      </c>
      <c r="BP23" s="253">
        <f>VLOOKUP(BM23,'PGB tarieven'!$A$7:$M$53,13,FALSE)</f>
        <v>76770</v>
      </c>
      <c r="BQ23" s="211">
        <f t="shared" si="12"/>
        <v>1472.3013698630136</v>
      </c>
      <c r="BR23" s="135">
        <v>2</v>
      </c>
      <c r="BS23" s="135" t="s">
        <v>1814</v>
      </c>
      <c r="BY23" s="214" t="s">
        <v>1561</v>
      </c>
      <c r="BZ23" s="214">
        <v>7</v>
      </c>
      <c r="CA23" s="214"/>
      <c r="CB23" s="214"/>
      <c r="CC23" s="214"/>
      <c r="CD23" s="214"/>
      <c r="CE23" s="214"/>
      <c r="CF23" s="214"/>
      <c r="CG23" s="214"/>
      <c r="CH23" s="214"/>
      <c r="CI23" s="181" t="s">
        <v>1199</v>
      </c>
      <c r="CJ23" s="209" t="s">
        <v>1633</v>
      </c>
      <c r="CK23" s="215" t="s">
        <v>1244</v>
      </c>
      <c r="CL23" s="235" t="s">
        <v>1232</v>
      </c>
      <c r="CM23" s="236">
        <v>804</v>
      </c>
      <c r="CN23" s="237">
        <v>1497</v>
      </c>
      <c r="CO23" s="232">
        <f t="shared" si="8"/>
        <v>28.78846153846154</v>
      </c>
      <c r="CP23" s="236">
        <v>0</v>
      </c>
      <c r="CQ23" s="232">
        <f t="shared" si="9"/>
        <v>0</v>
      </c>
      <c r="CR23" s="237">
        <v>22788</v>
      </c>
      <c r="CS23" s="232">
        <f t="shared" si="10"/>
        <v>438.23076923076923</v>
      </c>
      <c r="CT23" s="237">
        <v>16170</v>
      </c>
      <c r="CU23" s="232">
        <f t="shared" si="11"/>
        <v>310.96153846153845</v>
      </c>
      <c r="CV23" s="237">
        <v>3357</v>
      </c>
      <c r="CW23" s="237">
        <v>43812</v>
      </c>
      <c r="CX23" s="233">
        <v>40455</v>
      </c>
      <c r="DP23" s="142" t="s">
        <v>1758</v>
      </c>
      <c r="DQ23" s="142" t="s">
        <v>1754</v>
      </c>
      <c r="DR23" s="142" t="s">
        <v>2666</v>
      </c>
      <c r="DS23" s="142" t="s">
        <v>2690</v>
      </c>
      <c r="DU23" s="181" t="s">
        <v>1201</v>
      </c>
      <c r="DV23" s="182" t="s">
        <v>1278</v>
      </c>
      <c r="DW23" s="135" t="s">
        <v>1598</v>
      </c>
      <c r="DX23" s="200">
        <f t="shared" si="13"/>
        <v>28.75</v>
      </c>
      <c r="DY23" s="135">
        <v>23</v>
      </c>
      <c r="EO23" s="135" t="s">
        <v>2818</v>
      </c>
      <c r="EP23" s="135" t="s">
        <v>2931</v>
      </c>
      <c r="ET23" s="135" t="s">
        <v>2840</v>
      </c>
      <c r="EU23" s="135" t="s">
        <v>2776</v>
      </c>
      <c r="EY23" s="135" t="s">
        <v>2694</v>
      </c>
      <c r="EZ23" s="135" t="s">
        <v>2867</v>
      </c>
      <c r="FA23" s="135" t="s">
        <v>3360</v>
      </c>
      <c r="FB23" s="135" t="str">
        <f t="shared" si="7"/>
        <v>4lvgOpname</v>
      </c>
      <c r="FC23" s="156">
        <f>VLOOKUP(EZ23,'Tarieven ZZP'!$D$6:$J$134,7,FALSE)</f>
        <v>385.52</v>
      </c>
      <c r="FD23" s="156">
        <f t="shared" si="1"/>
        <v>2698.64</v>
      </c>
      <c r="FI23" s="181" t="s">
        <v>1204</v>
      </c>
      <c r="FJ23" s="135">
        <v>1</v>
      </c>
    </row>
    <row r="24" spans="1:166" ht="21" customHeight="1" thickBot="1" x14ac:dyDescent="0.35">
      <c r="A24" s="302"/>
      <c r="B24" s="285"/>
      <c r="C24" s="321">
        <f t="shared" si="14"/>
        <v>0</v>
      </c>
      <c r="D24" s="285"/>
      <c r="E24" s="285"/>
      <c r="F24" s="286"/>
      <c r="G24" s="287">
        <f t="shared" si="15"/>
        <v>0</v>
      </c>
      <c r="H24" s="363">
        <f t="shared" si="18"/>
        <v>0</v>
      </c>
      <c r="I24" s="364">
        <f t="shared" si="16"/>
        <v>0</v>
      </c>
      <c r="J24" s="305"/>
      <c r="K24" s="359">
        <f t="shared" si="17"/>
        <v>0</v>
      </c>
      <c r="L24" s="303"/>
      <c r="M24" s="320" t="s">
        <v>1805</v>
      </c>
      <c r="N24" s="323"/>
      <c r="O24" s="323"/>
      <c r="P24" s="323"/>
      <c r="Q24" s="472"/>
      <c r="R24" s="472"/>
      <c r="S24" s="302"/>
      <c r="V24" s="136" t="s">
        <v>1697</v>
      </c>
      <c r="W24" s="136" t="s">
        <v>1697</v>
      </c>
      <c r="X24" s="391" t="s">
        <v>1811</v>
      </c>
      <c r="Y24" s="391" t="str">
        <f>IF(Q24="extra overbruggingszorg (actief wachtend)",Z22,IF(Q24="palliatief terminale zorg",Z23,IF(Q24="meerzorg",Z24,IF(Q24="extra budget voor behandeling",Z25,IF(Q24="overig",Z26,IF(Q24="Gespecialiseerde verpleging",Z27,""))))))</f>
        <v/>
      </c>
      <c r="Z24" s="389" t="s">
        <v>1809</v>
      </c>
      <c r="AA24" s="136"/>
      <c r="AB24" s="152">
        <v>0.98</v>
      </c>
      <c r="AC24" s="150"/>
      <c r="AD24" s="153"/>
      <c r="AE24" s="142" t="s">
        <v>1755</v>
      </c>
      <c r="AF24" s="143"/>
      <c r="AG24" s="150"/>
      <c r="AH24" s="150"/>
      <c r="AI24" s="150"/>
      <c r="AJ24" s="135" t="s">
        <v>2820</v>
      </c>
      <c r="AK24" s="135" t="s">
        <v>2780</v>
      </c>
      <c r="AL24" s="151"/>
      <c r="AM24" s="151"/>
      <c r="AN24" s="170">
        <v>16</v>
      </c>
      <c r="AO24" s="170" t="s">
        <v>1552</v>
      </c>
      <c r="AP24" s="170">
        <v>8</v>
      </c>
      <c r="AQ24" s="170" t="s">
        <v>1562</v>
      </c>
      <c r="AR24" s="170"/>
      <c r="AS24" s="170"/>
      <c r="AT24" s="170"/>
      <c r="AU24" s="170"/>
      <c r="AV24" s="170"/>
      <c r="AW24" s="170"/>
      <c r="AX24" s="165" t="s">
        <v>1654</v>
      </c>
      <c r="AY24" s="135" t="s">
        <v>504</v>
      </c>
      <c r="AZ24" s="206">
        <f>VLOOKUP(AY24,'Tarieven ZIN prestaties'!$B$1:$D$84,2,FALSE)</f>
        <v>109.32</v>
      </c>
      <c r="BA24" s="207"/>
      <c r="BD24" s="181" t="s">
        <v>1200</v>
      </c>
      <c r="BE24" s="209">
        <v>824</v>
      </c>
      <c r="BF24" s="182" t="s">
        <v>1278</v>
      </c>
      <c r="BG24" s="210">
        <f>VLOOKUP(BD24,'PGB tarieven'!$A$7:$M$53,13,FALSE)</f>
        <v>51182</v>
      </c>
      <c r="BH24" s="211">
        <f t="shared" si="5"/>
        <v>981.57260273972599</v>
      </c>
      <c r="BI24" s="193"/>
      <c r="BJ24" s="193"/>
      <c r="BK24" s="212" t="s">
        <v>1237</v>
      </c>
      <c r="BL24" s="175">
        <f>VLOOKUP(BK24,'Ruimte behandeling basis MPT'!$A$2:$H$41,8,FALSE)</f>
        <v>306.16051190907967</v>
      </c>
      <c r="BM24" s="181" t="s">
        <v>1596</v>
      </c>
      <c r="BN24" s="209">
        <v>191</v>
      </c>
      <c r="BO24" s="182" t="s">
        <v>1244</v>
      </c>
      <c r="BP24" s="253">
        <f>VLOOKUP(BM24,'PGB tarieven'!$A$7:$M$53,13,FALSE)</f>
        <v>49229</v>
      </c>
      <c r="BQ24" s="211">
        <f t="shared" si="12"/>
        <v>944.11780821917796</v>
      </c>
      <c r="BR24" s="135">
        <v>3</v>
      </c>
      <c r="BS24" s="135" t="s">
        <v>1814</v>
      </c>
      <c r="BU24" s="135">
        <v>3357</v>
      </c>
      <c r="BY24" s="214" t="s">
        <v>1562</v>
      </c>
      <c r="BZ24" s="214">
        <v>8</v>
      </c>
      <c r="CA24" s="214"/>
      <c r="CB24" s="214"/>
      <c r="CC24" s="214"/>
      <c r="CD24" s="214"/>
      <c r="CE24" s="214"/>
      <c r="CF24" s="214"/>
      <c r="CG24" s="214"/>
      <c r="CH24" s="214"/>
      <c r="CI24" s="181" t="s">
        <v>1200</v>
      </c>
      <c r="CJ24" s="209" t="s">
        <v>1633</v>
      </c>
      <c r="CK24" s="215" t="s">
        <v>1244</v>
      </c>
      <c r="CL24" s="230" t="s">
        <v>1233</v>
      </c>
      <c r="CM24" s="231">
        <v>806</v>
      </c>
      <c r="CN24" s="232">
        <v>4491</v>
      </c>
      <c r="CO24" s="232">
        <f t="shared" si="8"/>
        <v>86.365384615384613</v>
      </c>
      <c r="CP24" s="232">
        <v>1281</v>
      </c>
      <c r="CQ24" s="232">
        <f t="shared" si="9"/>
        <v>24.634615384615383</v>
      </c>
      <c r="CR24" s="232">
        <v>22788</v>
      </c>
      <c r="CS24" s="232">
        <f t="shared" si="10"/>
        <v>438.23076923076923</v>
      </c>
      <c r="CT24" s="232">
        <v>16170</v>
      </c>
      <c r="CU24" s="232">
        <f t="shared" si="11"/>
        <v>310.96153846153845</v>
      </c>
      <c r="CV24" s="232">
        <v>3357</v>
      </c>
      <c r="CW24" s="232">
        <v>48087</v>
      </c>
      <c r="CX24" s="233">
        <v>44730</v>
      </c>
      <c r="DP24" s="142" t="s">
        <v>1759</v>
      </c>
      <c r="DQ24" s="142" t="s">
        <v>1755</v>
      </c>
      <c r="DR24" s="142" t="s">
        <v>2667</v>
      </c>
      <c r="DS24" s="142" t="s">
        <v>2689</v>
      </c>
      <c r="DU24" s="181" t="s">
        <v>1202</v>
      </c>
      <c r="DV24" s="182" t="s">
        <v>1278</v>
      </c>
      <c r="DW24" s="135" t="s">
        <v>1631</v>
      </c>
      <c r="DX24" s="200">
        <f t="shared" si="13"/>
        <v>35.625</v>
      </c>
      <c r="DY24" s="254">
        <v>28.5</v>
      </c>
      <c r="EO24" s="135" t="s">
        <v>2811</v>
      </c>
      <c r="EP24" s="135" t="s">
        <v>2772</v>
      </c>
      <c r="ET24" s="135" t="s">
        <v>2846</v>
      </c>
      <c r="EU24" s="135" t="s">
        <v>2936</v>
      </c>
      <c r="EY24" s="135" t="s">
        <v>2695</v>
      </c>
      <c r="EZ24" s="135" t="s">
        <v>2868</v>
      </c>
      <c r="FA24" s="135" t="s">
        <v>3360</v>
      </c>
      <c r="FB24" s="135" t="str">
        <f t="shared" si="7"/>
        <v>5lvgOpname</v>
      </c>
      <c r="FC24" s="156">
        <f>VLOOKUP(EZ24,'Tarieven ZZP'!$D$6:$J$134,7,FALSE)</f>
        <v>367.8</v>
      </c>
      <c r="FD24" s="156">
        <f t="shared" si="1"/>
        <v>2574.6</v>
      </c>
      <c r="FI24" s="181" t="s">
        <v>1209</v>
      </c>
      <c r="FJ24" s="135">
        <v>1</v>
      </c>
    </row>
    <row r="25" spans="1:166" ht="21" customHeight="1" thickBot="1" x14ac:dyDescent="0.4">
      <c r="A25" s="302"/>
      <c r="B25" s="285"/>
      <c r="C25" s="321">
        <f t="shared" si="14"/>
        <v>0</v>
      </c>
      <c r="D25" s="285"/>
      <c r="E25" s="285"/>
      <c r="F25" s="286"/>
      <c r="G25" s="287">
        <f t="shared" si="15"/>
        <v>0</v>
      </c>
      <c r="H25" s="363">
        <f t="shared" si="18"/>
        <v>0</v>
      </c>
      <c r="I25" s="364">
        <f t="shared" si="16"/>
        <v>0</v>
      </c>
      <c r="J25" s="305"/>
      <c r="K25" s="359">
        <f t="shared" si="17"/>
        <v>0</v>
      </c>
      <c r="L25" s="307"/>
      <c r="M25" s="320" t="s">
        <v>1698</v>
      </c>
      <c r="N25" s="320"/>
      <c r="O25" s="320"/>
      <c r="P25" s="320"/>
      <c r="Q25" s="325"/>
      <c r="R25" s="326"/>
      <c r="S25" s="302"/>
      <c r="T25" s="156">
        <f ca="1">IF(I33&lt;M15,I33,M15)</f>
        <v>0</v>
      </c>
      <c r="V25" s="136" t="s">
        <v>1603</v>
      </c>
      <c r="W25" s="135" t="s">
        <v>1598</v>
      </c>
      <c r="X25" s="389" t="s">
        <v>3464</v>
      </c>
      <c r="Z25" s="389" t="s">
        <v>1810</v>
      </c>
      <c r="AB25" s="140">
        <v>0.98499999999999999</v>
      </c>
      <c r="AC25" s="150"/>
      <c r="AD25" s="153"/>
      <c r="AE25" s="142" t="s">
        <v>1756</v>
      </c>
      <c r="AF25" s="143"/>
      <c r="AG25" s="150"/>
      <c r="AH25" s="150"/>
      <c r="AI25" s="150"/>
      <c r="AJ25" s="135" t="s">
        <v>2821</v>
      </c>
      <c r="AK25" s="135" t="s">
        <v>2781</v>
      </c>
      <c r="AL25" s="151"/>
      <c r="AM25" s="151"/>
      <c r="AN25" s="170">
        <v>17</v>
      </c>
      <c r="AO25" s="170" t="s">
        <v>1552</v>
      </c>
      <c r="AP25" s="170">
        <v>9</v>
      </c>
      <c r="AQ25" s="170" t="s">
        <v>1563</v>
      </c>
      <c r="AR25" s="170"/>
      <c r="AS25" s="170"/>
      <c r="AT25" s="170"/>
      <c r="AU25" s="170"/>
      <c r="AV25" s="170"/>
      <c r="AW25" s="170"/>
      <c r="AX25" s="165" t="s">
        <v>1655</v>
      </c>
      <c r="AY25" s="135" t="s">
        <v>486</v>
      </c>
      <c r="AZ25" s="206">
        <f>VLOOKUP(AY25,'Tarieven ZIN prestaties'!$B$1:$D$84,2,FALSE)</f>
        <v>134.36000000000001</v>
      </c>
      <c r="BA25" s="207"/>
      <c r="BD25" s="181" t="s">
        <v>1201</v>
      </c>
      <c r="BE25" s="209">
        <v>826</v>
      </c>
      <c r="BF25" s="182" t="s">
        <v>1278</v>
      </c>
      <c r="BG25" s="210">
        <f>VLOOKUP(BD25,'PGB tarieven'!$A$7:$M$53,13,FALSE)</f>
        <v>55011</v>
      </c>
      <c r="BH25" s="211">
        <f t="shared" si="5"/>
        <v>1055.0054794520547</v>
      </c>
      <c r="BI25" s="193"/>
      <c r="BJ25" s="193"/>
      <c r="BK25" s="212" t="s">
        <v>1238</v>
      </c>
      <c r="BL25" s="175">
        <f>VLOOKUP(BK25,'Ruimte behandeling basis MPT'!$A$2:$H$41,8,FALSE)</f>
        <v>0</v>
      </c>
      <c r="BM25" s="181" t="s">
        <v>1223</v>
      </c>
      <c r="BN25" s="209">
        <v>759</v>
      </c>
      <c r="BO25" s="182" t="s">
        <v>1244</v>
      </c>
      <c r="BP25" s="253">
        <f>VLOOKUP(BM25,'PGB tarieven'!$A$7:$M$53,13,FALSE)</f>
        <v>83631</v>
      </c>
      <c r="BQ25" s="211">
        <f t="shared" si="12"/>
        <v>1603.882191780822</v>
      </c>
      <c r="BR25" s="135">
        <v>4</v>
      </c>
      <c r="BS25" s="135" t="s">
        <v>1814</v>
      </c>
      <c r="BU25" s="135">
        <f>BU24/365</f>
        <v>9.1972602739726028</v>
      </c>
      <c r="BY25" s="214" t="s">
        <v>1563</v>
      </c>
      <c r="BZ25" s="214">
        <v>9</v>
      </c>
      <c r="CA25" s="214"/>
      <c r="CB25" s="214" t="s">
        <v>1618</v>
      </c>
      <c r="CC25" s="214"/>
      <c r="CD25" s="214"/>
      <c r="CE25" s="214"/>
      <c r="CF25" s="214"/>
      <c r="CG25" s="214"/>
      <c r="CH25" s="214"/>
      <c r="CI25" s="181" t="s">
        <v>1201</v>
      </c>
      <c r="CJ25" s="209" t="s">
        <v>1633</v>
      </c>
      <c r="CK25" s="215" t="s">
        <v>1244</v>
      </c>
      <c r="CL25" s="235" t="s">
        <v>1234</v>
      </c>
      <c r="CM25" s="236">
        <v>808</v>
      </c>
      <c r="CN25" s="237">
        <v>12711</v>
      </c>
      <c r="CO25" s="232">
        <f t="shared" si="8"/>
        <v>244.44230769230768</v>
      </c>
      <c r="CP25" s="237">
        <v>3845</v>
      </c>
      <c r="CQ25" s="232">
        <f t="shared" si="9"/>
        <v>73.942307692307693</v>
      </c>
      <c r="CR25" s="237">
        <v>22788</v>
      </c>
      <c r="CS25" s="232">
        <f t="shared" si="10"/>
        <v>438.23076923076923</v>
      </c>
      <c r="CT25" s="237">
        <v>18622</v>
      </c>
      <c r="CU25" s="232">
        <f t="shared" si="11"/>
        <v>358.11538461538464</v>
      </c>
      <c r="CV25" s="237">
        <v>3357</v>
      </c>
      <c r="CW25" s="237">
        <v>61323</v>
      </c>
      <c r="CX25" s="233">
        <v>57966</v>
      </c>
      <c r="DP25" s="142" t="s">
        <v>1761</v>
      </c>
      <c r="DQ25" s="142" t="s">
        <v>1756</v>
      </c>
      <c r="DR25" s="142" t="s">
        <v>2668</v>
      </c>
      <c r="DS25" s="142" t="s">
        <v>2690</v>
      </c>
      <c r="DU25" s="181" t="s">
        <v>1203</v>
      </c>
      <c r="DV25" s="182" t="s">
        <v>1278</v>
      </c>
      <c r="DW25" s="135" t="s">
        <v>1631</v>
      </c>
      <c r="DX25" s="200">
        <f t="shared" si="13"/>
        <v>35.625</v>
      </c>
      <c r="DY25" s="254">
        <v>28.5</v>
      </c>
      <c r="EO25" s="135" t="s">
        <v>2819</v>
      </c>
      <c r="ET25" s="135" t="s">
        <v>2852</v>
      </c>
      <c r="EU25" s="135" t="s">
        <v>2942</v>
      </c>
      <c r="EY25" s="135" t="s">
        <v>2673</v>
      </c>
      <c r="EZ25" s="135" t="s">
        <v>2869</v>
      </c>
      <c r="FA25" s="135" t="s">
        <v>3360</v>
      </c>
      <c r="FB25" s="135" t="str">
        <f t="shared" si="7"/>
        <v>1sglvgOpname</v>
      </c>
      <c r="FC25" s="156">
        <f>VLOOKUP(EZ25,'Tarieven ZZP'!$D$6:$J$134,7,FALSE)</f>
        <v>421.16</v>
      </c>
      <c r="FD25" s="156">
        <f t="shared" si="1"/>
        <v>2948.1200000000003</v>
      </c>
      <c r="FI25" s="181" t="s">
        <v>1210</v>
      </c>
      <c r="FJ25" s="135">
        <v>1</v>
      </c>
    </row>
    <row r="26" spans="1:166" ht="21" customHeight="1" thickBot="1" x14ac:dyDescent="0.4">
      <c r="A26" s="302"/>
      <c r="B26" s="285"/>
      <c r="C26" s="321">
        <f t="shared" si="14"/>
        <v>0</v>
      </c>
      <c r="D26" s="285"/>
      <c r="E26" s="285"/>
      <c r="F26" s="286"/>
      <c r="G26" s="287">
        <f t="shared" si="15"/>
        <v>0</v>
      </c>
      <c r="H26" s="363">
        <f t="shared" si="18"/>
        <v>0</v>
      </c>
      <c r="I26" s="364">
        <f t="shared" si="16"/>
        <v>0</v>
      </c>
      <c r="J26" s="305"/>
      <c r="K26" s="359">
        <f t="shared" si="17"/>
        <v>0</v>
      </c>
      <c r="L26" s="342" t="s">
        <v>1430</v>
      </c>
      <c r="M26" s="305"/>
      <c r="N26" s="305"/>
      <c r="O26" s="305"/>
      <c r="P26" s="302"/>
      <c r="Q26" s="302"/>
      <c r="R26" s="302"/>
      <c r="S26" s="302"/>
      <c r="V26" s="135" t="s">
        <v>1598</v>
      </c>
      <c r="X26" s="389" t="s">
        <v>3464</v>
      </c>
      <c r="Z26" s="389" t="s">
        <v>1811</v>
      </c>
      <c r="AB26" s="140">
        <v>0.99</v>
      </c>
      <c r="AC26" s="150"/>
      <c r="AD26" s="150"/>
      <c r="AE26" s="142" t="s">
        <v>1757</v>
      </c>
      <c r="AF26" s="143"/>
      <c r="AG26" s="150"/>
      <c r="AH26" s="150"/>
      <c r="AI26" s="150"/>
      <c r="AJ26" s="135" t="s">
        <v>2822</v>
      </c>
      <c r="AK26" s="135" t="s">
        <v>2782</v>
      </c>
      <c r="AL26" s="151"/>
      <c r="AM26" s="151"/>
      <c r="AN26" s="170">
        <v>18</v>
      </c>
      <c r="AO26" s="170" t="s">
        <v>1552</v>
      </c>
      <c r="AP26" s="170"/>
      <c r="AQ26" s="170"/>
      <c r="AR26" s="170"/>
      <c r="AS26" s="170"/>
      <c r="AT26" s="170"/>
      <c r="AU26" s="170"/>
      <c r="AV26" s="170"/>
      <c r="AW26" s="170"/>
      <c r="AX26" s="165" t="s">
        <v>1656</v>
      </c>
      <c r="AY26" s="135" t="s">
        <v>522</v>
      </c>
      <c r="AZ26" s="206">
        <f>VLOOKUP(AY26,'Tarieven ZIN prestaties'!$B$1:$D$84,2,FALSE)</f>
        <v>91.29</v>
      </c>
      <c r="BA26" s="207"/>
      <c r="BD26" s="181" t="s">
        <v>1202</v>
      </c>
      <c r="BE26" s="209">
        <v>828</v>
      </c>
      <c r="BF26" s="182" t="s">
        <v>1278</v>
      </c>
      <c r="BG26" s="210">
        <f>VLOOKUP(BD26,'PGB tarieven'!$A$7:$M$53,13,FALSE)</f>
        <v>65363</v>
      </c>
      <c r="BH26" s="211">
        <f t="shared" si="5"/>
        <v>1253.5369863013698</v>
      </c>
      <c r="BI26" s="193"/>
      <c r="BJ26" s="193"/>
      <c r="BK26" s="212" t="s">
        <v>1239</v>
      </c>
      <c r="BL26" s="175">
        <f>VLOOKUP(BK26,'Ruimte behandeling basis MPT'!$A$2:$H$41,8,FALSE)</f>
        <v>0</v>
      </c>
      <c r="BM26" s="181" t="s">
        <v>1238</v>
      </c>
      <c r="BN26" s="209">
        <v>780</v>
      </c>
      <c r="BO26" s="182" t="s">
        <v>1244</v>
      </c>
      <c r="BP26" s="253">
        <f>VLOOKUP(BM26,'PGB tarieven'!$A$7:$M$53,13,FALSE)</f>
        <v>29980</v>
      </c>
      <c r="BQ26" s="211">
        <f t="shared" si="12"/>
        <v>574.95890410958896</v>
      </c>
      <c r="BR26" s="135">
        <v>5</v>
      </c>
      <c r="BS26" s="135" t="s">
        <v>1813</v>
      </c>
      <c r="BU26" s="135">
        <f>BU25*7</f>
        <v>64.38082191780822</v>
      </c>
      <c r="BZ26" s="214" t="s">
        <v>1428</v>
      </c>
      <c r="CA26" s="214">
        <f t="shared" ref="CA26:CA31" si="19">IFERROR(VLOOKUP(N28,$BY$8:$BZ$25,2,FALSE),0)</f>
        <v>0</v>
      </c>
      <c r="CB26" s="214">
        <v>123.79</v>
      </c>
      <c r="CC26" s="214" t="s">
        <v>486</v>
      </c>
      <c r="CD26" s="214">
        <f t="shared" ref="CD26:CD31" si="20">CA26*CB26</f>
        <v>0</v>
      </c>
      <c r="CE26" s="214"/>
      <c r="CF26" s="214"/>
      <c r="CG26" s="214"/>
      <c r="CH26" s="214"/>
      <c r="CI26" s="181" t="s">
        <v>1202</v>
      </c>
      <c r="CJ26" s="209" t="s">
        <v>1633</v>
      </c>
      <c r="CK26" s="215" t="s">
        <v>1244</v>
      </c>
      <c r="CL26" s="230" t="s">
        <v>1235</v>
      </c>
      <c r="CM26" s="231">
        <v>810</v>
      </c>
      <c r="CN26" s="232">
        <v>4491</v>
      </c>
      <c r="CO26" s="232">
        <f t="shared" si="8"/>
        <v>86.365384615384613</v>
      </c>
      <c r="CP26" s="231">
        <v>0</v>
      </c>
      <c r="CQ26" s="232">
        <f t="shared" si="9"/>
        <v>0</v>
      </c>
      <c r="CR26" s="232">
        <v>28748</v>
      </c>
      <c r="CS26" s="232">
        <f t="shared" si="10"/>
        <v>552.84615384615381</v>
      </c>
      <c r="CT26" s="232">
        <v>21072</v>
      </c>
      <c r="CU26" s="232">
        <f t="shared" si="11"/>
        <v>405.23076923076923</v>
      </c>
      <c r="CV26" s="232">
        <v>3357</v>
      </c>
      <c r="CW26" s="232">
        <v>57668</v>
      </c>
      <c r="CX26" s="233">
        <v>54311</v>
      </c>
      <c r="DP26" s="142" t="s">
        <v>1762</v>
      </c>
      <c r="DQ26" s="142" t="s">
        <v>1757</v>
      </c>
      <c r="DR26" s="142" t="s">
        <v>2669</v>
      </c>
      <c r="DS26" s="142" t="s">
        <v>2689</v>
      </c>
      <c r="DU26" s="181" t="s">
        <v>1204</v>
      </c>
      <c r="DV26" s="182" t="s">
        <v>1278</v>
      </c>
      <c r="DW26" s="135" t="s">
        <v>1631</v>
      </c>
      <c r="DX26" s="200">
        <f t="shared" si="13"/>
        <v>38.125</v>
      </c>
      <c r="DY26" s="254">
        <v>30.5</v>
      </c>
      <c r="EB26" s="135">
        <v>26</v>
      </c>
      <c r="EC26" s="135">
        <v>32</v>
      </c>
      <c r="ED26" s="135">
        <f>EB26+EC26</f>
        <v>58</v>
      </c>
      <c r="EO26" s="135" t="s">
        <v>2812</v>
      </c>
      <c r="ET26" s="135" t="s">
        <v>2858</v>
      </c>
      <c r="EU26" s="135" t="s">
        <v>2948</v>
      </c>
      <c r="EY26" s="135" t="s">
        <v>2666</v>
      </c>
      <c r="EZ26" s="135" t="s">
        <v>2872</v>
      </c>
      <c r="FA26" s="135" t="s">
        <v>3360</v>
      </c>
      <c r="FB26" s="135" t="str">
        <f t="shared" si="7"/>
        <v>1lgOpname</v>
      </c>
      <c r="FC26" s="156">
        <f>VLOOKUP(EZ26,'Tarieven ZZP'!$D$6:$J$134,7,FALSE)</f>
        <v>171.81</v>
      </c>
      <c r="FD26" s="156">
        <f t="shared" si="1"/>
        <v>1202.67</v>
      </c>
      <c r="FI26" s="181" t="s">
        <v>1211</v>
      </c>
      <c r="FJ26" s="135">
        <v>1</v>
      </c>
    </row>
    <row r="27" spans="1:166" ht="21" customHeight="1" thickBot="1" x14ac:dyDescent="0.35">
      <c r="B27" s="285"/>
      <c r="C27" s="321">
        <f t="shared" si="14"/>
        <v>0</v>
      </c>
      <c r="D27" s="285"/>
      <c r="E27" s="285"/>
      <c r="F27" s="286"/>
      <c r="G27" s="287">
        <f t="shared" si="15"/>
        <v>0</v>
      </c>
      <c r="H27" s="363">
        <f t="shared" si="18"/>
        <v>0</v>
      </c>
      <c r="I27" s="365">
        <f t="shared" si="16"/>
        <v>0</v>
      </c>
      <c r="K27" s="359">
        <f t="shared" si="17"/>
        <v>0</v>
      </c>
      <c r="L27" s="475" t="s">
        <v>3012</v>
      </c>
      <c r="M27" s="476"/>
      <c r="N27" s="387" t="s">
        <v>3325</v>
      </c>
      <c r="O27" s="387" t="s">
        <v>3507</v>
      </c>
      <c r="P27" s="396" t="str">
        <f ca="1">IF(SUM(N28:N38)&lt;101%,"Ja","Nee")</f>
        <v>Ja</v>
      </c>
      <c r="Q27" s="388"/>
      <c r="R27" s="388"/>
      <c r="S27" s="302"/>
      <c r="T27" s="156">
        <f>M10</f>
        <v>0</v>
      </c>
      <c r="U27" s="261"/>
      <c r="X27" s="389" t="s">
        <v>3508</v>
      </c>
      <c r="Z27" s="392" t="s">
        <v>3510</v>
      </c>
      <c r="AB27" s="140">
        <v>0.995</v>
      </c>
      <c r="AC27" s="150"/>
      <c r="AD27" s="150"/>
      <c r="AE27" s="142" t="s">
        <v>1758</v>
      </c>
      <c r="AF27" s="143"/>
      <c r="AG27" s="150"/>
      <c r="AH27" s="150"/>
      <c r="AI27" s="150"/>
      <c r="AJ27" s="135" t="s">
        <v>2823</v>
      </c>
      <c r="AK27" s="135" t="s">
        <v>2783</v>
      </c>
      <c r="AL27" s="151"/>
      <c r="AM27" s="151"/>
      <c r="AN27" s="170">
        <v>19</v>
      </c>
      <c r="AO27" s="170" t="s">
        <v>1552</v>
      </c>
      <c r="AP27" s="170"/>
      <c r="AQ27" s="170"/>
      <c r="AR27" s="170"/>
      <c r="AS27" s="170"/>
      <c r="AT27" s="170"/>
      <c r="AU27" s="170"/>
      <c r="AV27" s="170"/>
      <c r="AW27" s="170"/>
      <c r="AX27" s="165" t="s">
        <v>1657</v>
      </c>
      <c r="AY27" s="135" t="s">
        <v>562</v>
      </c>
      <c r="AZ27" s="206">
        <f>VLOOKUP(AY27,'Tarieven ZIN prestaties'!$B$1:$D$84,2,FALSE)</f>
        <v>116.36</v>
      </c>
      <c r="BA27" s="207"/>
      <c r="BD27" s="181" t="s">
        <v>1203</v>
      </c>
      <c r="BE27" s="209">
        <v>830</v>
      </c>
      <c r="BF27" s="182" t="s">
        <v>1278</v>
      </c>
      <c r="BG27" s="210">
        <f>VLOOKUP(BD27,'PGB tarieven'!$A$7:$M$53,13,FALSE)</f>
        <v>71788</v>
      </c>
      <c r="BH27" s="211">
        <f t="shared" si="5"/>
        <v>1376.7561643835616</v>
      </c>
      <c r="BI27" s="193"/>
      <c r="BJ27" s="193"/>
      <c r="BK27" s="212" t="s">
        <v>1240</v>
      </c>
      <c r="BL27" s="175">
        <f>VLOOKUP(BK27,'Ruimte behandeling basis MPT'!$A$2:$H$41,8,FALSE)</f>
        <v>0</v>
      </c>
      <c r="BM27" s="181" t="s">
        <v>1239</v>
      </c>
      <c r="BN27" s="209">
        <v>781</v>
      </c>
      <c r="BO27" s="182" t="s">
        <v>1244</v>
      </c>
      <c r="BP27" s="253">
        <f>VLOOKUP(BM27,'PGB tarieven'!$A$7:$M$53,13,FALSE)</f>
        <v>42953</v>
      </c>
      <c r="BQ27" s="211">
        <f t="shared" si="12"/>
        <v>823.75616438356167</v>
      </c>
      <c r="BR27" s="135">
        <v>6</v>
      </c>
      <c r="BS27" s="135" t="s">
        <v>1814</v>
      </c>
      <c r="BZ27" s="214" t="s">
        <v>1297</v>
      </c>
      <c r="CA27" s="214">
        <f t="shared" si="19"/>
        <v>0</v>
      </c>
      <c r="CB27" s="214">
        <v>14.47</v>
      </c>
      <c r="CC27" s="214" t="s">
        <v>401</v>
      </c>
      <c r="CD27" s="214">
        <f t="shared" si="20"/>
        <v>0</v>
      </c>
      <c r="CE27" s="214"/>
      <c r="CF27" s="214"/>
      <c r="CG27" s="214"/>
      <c r="CH27" s="214"/>
      <c r="CI27" s="181" t="s">
        <v>1203</v>
      </c>
      <c r="CJ27" s="209" t="s">
        <v>1633</v>
      </c>
      <c r="CK27" s="215" t="s">
        <v>1244</v>
      </c>
      <c r="CL27" s="235" t="s">
        <v>1236</v>
      </c>
      <c r="CM27" s="236">
        <v>812</v>
      </c>
      <c r="CN27" s="237">
        <v>12711</v>
      </c>
      <c r="CO27" s="232">
        <f t="shared" si="8"/>
        <v>244.44230769230768</v>
      </c>
      <c r="CP27" s="237">
        <v>1281</v>
      </c>
      <c r="CQ27" s="232">
        <f t="shared" si="9"/>
        <v>24.634615384615383</v>
      </c>
      <c r="CR27" s="237">
        <v>35682</v>
      </c>
      <c r="CS27" s="232">
        <f t="shared" si="10"/>
        <v>686.19230769230774</v>
      </c>
      <c r="CT27" s="237">
        <v>23523</v>
      </c>
      <c r="CU27" s="232">
        <f t="shared" si="11"/>
        <v>452.36538461538464</v>
      </c>
      <c r="CV27" s="237">
        <v>3357</v>
      </c>
      <c r="CW27" s="237">
        <v>76554</v>
      </c>
      <c r="CX27" s="233">
        <v>73197</v>
      </c>
      <c r="DP27" s="142" t="s">
        <v>1764</v>
      </c>
      <c r="DQ27" s="142" t="s">
        <v>1758</v>
      </c>
      <c r="DR27" s="142" t="s">
        <v>2670</v>
      </c>
      <c r="DS27" s="142" t="s">
        <v>2690</v>
      </c>
      <c r="DU27" s="181" t="s">
        <v>1209</v>
      </c>
      <c r="DV27" s="182" t="s">
        <v>1278</v>
      </c>
      <c r="DW27" s="135" t="s">
        <v>1598</v>
      </c>
      <c r="DX27" s="200">
        <f t="shared" si="13"/>
        <v>15.625</v>
      </c>
      <c r="DY27" s="135">
        <v>12.5</v>
      </c>
      <c r="ED27" s="135">
        <f>ED26/2</f>
        <v>29</v>
      </c>
      <c r="EO27" s="135" t="s">
        <v>2820</v>
      </c>
      <c r="ET27" s="135" t="s">
        <v>2841</v>
      </c>
      <c r="EU27" s="135" t="s">
        <v>2777</v>
      </c>
      <c r="EY27" s="135" t="s">
        <v>2667</v>
      </c>
      <c r="EZ27" s="135" t="s">
        <v>2873</v>
      </c>
      <c r="FA27" s="135" t="s">
        <v>3360</v>
      </c>
      <c r="FB27" s="135" t="str">
        <f t="shared" si="7"/>
        <v>2lgOpname</v>
      </c>
      <c r="FC27" s="156">
        <f>VLOOKUP(EZ27,'Tarieven ZZP'!$D$6:$J$134,7,FALSE)</f>
        <v>199.01</v>
      </c>
      <c r="FD27" s="156">
        <f t="shared" si="1"/>
        <v>1393.07</v>
      </c>
      <c r="FI27" s="181" t="s">
        <v>1212</v>
      </c>
      <c r="FJ27" s="135">
        <v>1</v>
      </c>
    </row>
    <row r="28" spans="1:166" ht="21" customHeight="1" thickBot="1" x14ac:dyDescent="0.35">
      <c r="B28" s="285"/>
      <c r="C28" s="321">
        <f t="shared" si="14"/>
        <v>0</v>
      </c>
      <c r="D28" s="285"/>
      <c r="E28" s="285"/>
      <c r="F28" s="286"/>
      <c r="G28" s="287">
        <f t="shared" si="15"/>
        <v>0</v>
      </c>
      <c r="H28" s="363">
        <f>U40</f>
        <v>0</v>
      </c>
      <c r="I28" s="365">
        <f t="shared" si="16"/>
        <v>0</v>
      </c>
      <c r="K28" s="359">
        <f t="shared" si="17"/>
        <v>0</v>
      </c>
      <c r="L28" s="475">
        <f>IFERROR(VLOOKUP(M93,E93:F106,2,0)," ")</f>
        <v>0</v>
      </c>
      <c r="M28" s="476"/>
      <c r="N28" s="288">
        <f t="shared" ref="N28:N38" si="21">IFERROR(SUMIF($E$18:$E$31,L28,$K$18:$K$31),0)</f>
        <v>0</v>
      </c>
      <c r="O28" s="395" t="s">
        <v>3463</v>
      </c>
      <c r="P28" s="461" t="str">
        <f ca="1">IF(B43="restant",X23,"")</f>
        <v/>
      </c>
      <c r="Q28" s="462"/>
      <c r="R28" s="462"/>
      <c r="S28" s="284"/>
      <c r="U28" s="261"/>
      <c r="X28" s="145" t="str">
        <f>IF(Y24="","",1)</f>
        <v/>
      </c>
      <c r="AB28" s="154">
        <v>1</v>
      </c>
      <c r="AC28" s="150"/>
      <c r="AD28" s="150"/>
      <c r="AE28" s="142" t="s">
        <v>1759</v>
      </c>
      <c r="AF28" s="143"/>
      <c r="AG28" s="150"/>
      <c r="AH28" s="150"/>
      <c r="AI28" s="150"/>
      <c r="AJ28" s="135" t="s">
        <v>2824</v>
      </c>
      <c r="AK28" s="135" t="s">
        <v>2784</v>
      </c>
      <c r="AL28" s="151"/>
      <c r="AM28" s="151"/>
      <c r="AN28" s="170">
        <v>20</v>
      </c>
      <c r="AO28" s="170" t="s">
        <v>1553</v>
      </c>
      <c r="AP28" s="170"/>
      <c r="AQ28" s="170"/>
      <c r="AR28" s="170"/>
      <c r="AS28" s="170"/>
      <c r="AT28" s="170"/>
      <c r="AU28" s="170"/>
      <c r="AV28" s="170"/>
      <c r="AW28" s="170"/>
      <c r="AX28" s="165" t="s">
        <v>1658</v>
      </c>
      <c r="AY28" s="135" t="s">
        <v>30</v>
      </c>
      <c r="AZ28" s="206">
        <f>VLOOKUP(AY28,'Tarieven ZIN prestaties'!$B$1:$D$84,2,FALSE)</f>
        <v>61.56</v>
      </c>
      <c r="BA28" s="207"/>
      <c r="BD28" s="181" t="s">
        <v>1204</v>
      </c>
      <c r="BE28" s="209">
        <v>832</v>
      </c>
      <c r="BF28" s="182" t="s">
        <v>1278</v>
      </c>
      <c r="BG28" s="210">
        <f>VLOOKUP(BD28,'PGB tarieven'!$A$7:$M$53,13,FALSE)</f>
        <v>75580</v>
      </c>
      <c r="BH28" s="211">
        <f t="shared" si="5"/>
        <v>1449.4794520547946</v>
      </c>
      <c r="BI28" s="193"/>
      <c r="BJ28" s="193"/>
      <c r="BK28" s="212" t="s">
        <v>1241</v>
      </c>
      <c r="BL28" s="175">
        <f>VLOOKUP(BK28,'Ruimte behandeling basis MPT'!$A$2:$H$41,8,FALSE)</f>
        <v>0</v>
      </c>
      <c r="BM28" s="181" t="s">
        <v>1240</v>
      </c>
      <c r="BN28" s="209">
        <v>782</v>
      </c>
      <c r="BO28" s="182" t="s">
        <v>1244</v>
      </c>
      <c r="BP28" s="253">
        <f>VLOOKUP(BM28,'PGB tarieven'!$A$7:$M$53,13,FALSE)</f>
        <v>51927</v>
      </c>
      <c r="BQ28" s="211">
        <f t="shared" si="12"/>
        <v>995.86027397260273</v>
      </c>
      <c r="BR28" s="135">
        <v>7</v>
      </c>
      <c r="BS28" s="135" t="s">
        <v>1814</v>
      </c>
      <c r="BZ28" s="214" t="s">
        <v>1255</v>
      </c>
      <c r="CA28" s="214">
        <f t="shared" si="19"/>
        <v>0</v>
      </c>
      <c r="CB28" s="214">
        <v>82.37</v>
      </c>
      <c r="CC28" s="214" t="s">
        <v>44</v>
      </c>
      <c r="CD28" s="214">
        <f t="shared" si="20"/>
        <v>0</v>
      </c>
      <c r="CE28" s="214"/>
      <c r="CF28" s="214"/>
      <c r="CG28" s="214"/>
      <c r="CH28" s="214"/>
      <c r="CI28" s="181" t="s">
        <v>1204</v>
      </c>
      <c r="CJ28" s="209" t="s">
        <v>1633</v>
      </c>
      <c r="CK28" s="215" t="s">
        <v>1244</v>
      </c>
      <c r="CL28" s="230" t="s">
        <v>1237</v>
      </c>
      <c r="CM28" s="231">
        <v>814</v>
      </c>
      <c r="CN28" s="232">
        <v>26894</v>
      </c>
      <c r="CO28" s="232">
        <f t="shared" si="8"/>
        <v>517.19230769230774</v>
      </c>
      <c r="CP28" s="232">
        <v>7690</v>
      </c>
      <c r="CQ28" s="232">
        <f t="shared" si="9"/>
        <v>147.88461538461539</v>
      </c>
      <c r="CR28" s="232">
        <v>10907</v>
      </c>
      <c r="CS28" s="232">
        <f t="shared" si="10"/>
        <v>209.75</v>
      </c>
      <c r="CT28" s="232">
        <v>18622</v>
      </c>
      <c r="CU28" s="232">
        <f t="shared" si="11"/>
        <v>358.11538461538464</v>
      </c>
      <c r="CV28" s="232">
        <v>3357</v>
      </c>
      <c r="CW28" s="232">
        <v>67470</v>
      </c>
      <c r="CX28" s="233">
        <v>64113</v>
      </c>
      <c r="DP28" s="142" t="s">
        <v>1765</v>
      </c>
      <c r="DQ28" s="142" t="s">
        <v>1759</v>
      </c>
      <c r="DR28" s="142" t="s">
        <v>2671</v>
      </c>
      <c r="DS28" s="142" t="s">
        <v>2689</v>
      </c>
      <c r="DU28" s="181" t="s">
        <v>1210</v>
      </c>
      <c r="DV28" s="182" t="s">
        <v>1278</v>
      </c>
      <c r="DW28" s="135" t="s">
        <v>1598</v>
      </c>
      <c r="DX28" s="200">
        <f t="shared" si="13"/>
        <v>20.625</v>
      </c>
      <c r="DY28" s="135">
        <v>16.5</v>
      </c>
      <c r="EO28" s="135" t="s">
        <v>2813</v>
      </c>
      <c r="EP28" s="135">
        <f t="shared" ref="EP28:EP38" si="22">IF(OR(B18="verblijfsprestatie",B18="vptprestatie"),1,0)</f>
        <v>0</v>
      </c>
      <c r="ET28" s="135" t="s">
        <v>2847</v>
      </c>
      <c r="EU28" s="135" t="s">
        <v>2937</v>
      </c>
      <c r="EY28" s="135" t="s">
        <v>2668</v>
      </c>
      <c r="EZ28" s="135" t="s">
        <v>2889</v>
      </c>
      <c r="FA28" s="135" t="s">
        <v>3360</v>
      </c>
      <c r="FB28" s="135" t="str">
        <f t="shared" si="7"/>
        <v>3lgOpname</v>
      </c>
      <c r="FC28" s="156">
        <f>VLOOKUP(EZ28,'Tarieven ZZP'!$D$6:$J$134,7,FALSE)</f>
        <v>198.93</v>
      </c>
      <c r="FD28" s="156">
        <f t="shared" si="1"/>
        <v>1392.51</v>
      </c>
      <c r="FI28" s="181" t="s">
        <v>1213</v>
      </c>
      <c r="FJ28" s="135">
        <v>1</v>
      </c>
    </row>
    <row r="29" spans="1:166" ht="21" customHeight="1" thickBot="1" x14ac:dyDescent="0.35">
      <c r="B29" s="285"/>
      <c r="C29" s="321">
        <f t="shared" si="14"/>
        <v>0</v>
      </c>
      <c r="D29" s="285"/>
      <c r="E29" s="285"/>
      <c r="F29" s="286"/>
      <c r="G29" s="287">
        <f t="shared" si="15"/>
        <v>0</v>
      </c>
      <c r="H29" s="363">
        <f>U41</f>
        <v>0</v>
      </c>
      <c r="I29" s="365">
        <f t="shared" si="16"/>
        <v>0</v>
      </c>
      <c r="K29" s="359">
        <f t="shared" si="17"/>
        <v>0</v>
      </c>
      <c r="L29" s="475" t="str">
        <f>IFERROR(VLOOKUP(M94,E94:F107,2,0)," ")</f>
        <v xml:space="preserve"> </v>
      </c>
      <c r="M29" s="476"/>
      <c r="N29" s="288">
        <f t="shared" si="21"/>
        <v>0</v>
      </c>
      <c r="O29" s="395" t="s">
        <v>3470</v>
      </c>
      <c r="P29" s="461" t="str">
        <f ca="1">IF(B43="Restant",Y23,"")</f>
        <v/>
      </c>
      <c r="Q29" s="462"/>
      <c r="R29" s="462"/>
      <c r="S29" s="294"/>
      <c r="U29" s="262">
        <f t="shared" ref="U29:U38" si="23">IF($B18="schoonmaak",$AZ$1,IF($B18="Logeren",X29,$V29))</f>
        <v>0</v>
      </c>
      <c r="V29" s="133">
        <f t="shared" ref="V29:V38" si="24">IFERROR(VLOOKUP(LEFT(D18,4),$AY$7:$AZ$584,2,FALSE)*$H$1+IF($B18="Logeren",VLOOKUP(LEFT(D18,5),$AY$7:$BA$602,3,FALSE),0),0)</f>
        <v>0</v>
      </c>
      <c r="W29" s="142">
        <f t="shared" ref="W29:W38" si="25">IFERROR(VLOOKUP(D18,$AX$100:$BA$105,3),0)</f>
        <v>0</v>
      </c>
      <c r="X29" s="135">
        <f t="shared" ref="X29:X43" si="26">W29*$H$1</f>
        <v>0</v>
      </c>
      <c r="AB29" s="135" t="e">
        <f>VLOOKUP($D24,$A$62:$H$170,5,FALSE)</f>
        <v>#N/A</v>
      </c>
      <c r="AC29" s="150"/>
      <c r="AD29" s="150"/>
      <c r="AE29" s="142" t="s">
        <v>1760</v>
      </c>
      <c r="AF29" s="143"/>
      <c r="AG29" s="150"/>
      <c r="AH29" s="150"/>
      <c r="AI29" s="150"/>
      <c r="AJ29" s="135" t="s">
        <v>2825</v>
      </c>
      <c r="AK29" s="135" t="s">
        <v>2785</v>
      </c>
      <c r="AL29" s="151"/>
      <c r="AM29" s="151"/>
      <c r="AN29" s="170">
        <v>21</v>
      </c>
      <c r="AO29" s="170" t="s">
        <v>1553</v>
      </c>
      <c r="AP29" s="170"/>
      <c r="AQ29" s="170"/>
      <c r="AR29" s="170"/>
      <c r="AS29" s="170"/>
      <c r="AT29" s="170"/>
      <c r="AU29" s="170"/>
      <c r="AV29" s="170"/>
      <c r="AW29" s="170"/>
      <c r="AX29" s="165" t="s">
        <v>1738</v>
      </c>
      <c r="AY29" s="135" t="s">
        <v>425</v>
      </c>
      <c r="AZ29" s="206">
        <f>VLOOKUP(AY29,'Tarieven ZIN prestaties'!$B$1:$D$84,2,FALSE)</f>
        <v>29.57</v>
      </c>
      <c r="BA29" s="207"/>
      <c r="BD29" s="181" t="s">
        <v>1209</v>
      </c>
      <c r="BE29" s="209">
        <v>840</v>
      </c>
      <c r="BF29" s="182" t="s">
        <v>1278</v>
      </c>
      <c r="BG29" s="210">
        <f>VLOOKUP(BD29,'PGB tarieven'!$A$7:$M$53,13,FALSE)</f>
        <v>38133</v>
      </c>
      <c r="BH29" s="211">
        <f t="shared" si="5"/>
        <v>731.317808219178</v>
      </c>
      <c r="BI29" s="193"/>
      <c r="BJ29" s="193"/>
      <c r="BK29" s="212" t="s">
        <v>1242</v>
      </c>
      <c r="BL29" s="175">
        <f>VLOOKUP(BK29,'Ruimte behandeling basis MPT'!$A$2:$H$41,8,FALSE)</f>
        <v>0</v>
      </c>
      <c r="BM29" s="181" t="s">
        <v>1241</v>
      </c>
      <c r="BN29" s="209">
        <v>783</v>
      </c>
      <c r="BO29" s="182" t="s">
        <v>1244</v>
      </c>
      <c r="BP29" s="253">
        <f>VLOOKUP(BM29,'PGB tarieven'!$A$7:$M$53,13,FALSE)</f>
        <v>67368</v>
      </c>
      <c r="BQ29" s="211">
        <f t="shared" si="12"/>
        <v>1291.9890410958906</v>
      </c>
      <c r="BR29" s="135">
        <v>8</v>
      </c>
      <c r="BS29" s="135" t="s">
        <v>1813</v>
      </c>
      <c r="BZ29" s="214" t="s">
        <v>1253</v>
      </c>
      <c r="CA29" s="214">
        <f t="shared" si="19"/>
        <v>0</v>
      </c>
      <c r="CB29" s="214">
        <v>81.48</v>
      </c>
      <c r="CC29" s="214" t="s">
        <v>20</v>
      </c>
      <c r="CD29" s="214">
        <f t="shared" si="20"/>
        <v>0</v>
      </c>
      <c r="CE29" s="214"/>
      <c r="CF29" s="214"/>
      <c r="CG29" s="214"/>
      <c r="CH29" s="214"/>
      <c r="CI29" s="181" t="s">
        <v>1209</v>
      </c>
      <c r="CJ29" s="209" t="s">
        <v>1633</v>
      </c>
      <c r="CK29" s="215" t="s">
        <v>1244</v>
      </c>
      <c r="CL29" s="235" t="s">
        <v>1198</v>
      </c>
      <c r="CM29" s="236">
        <v>820</v>
      </c>
      <c r="CN29" s="237">
        <v>4491</v>
      </c>
      <c r="CO29" s="232">
        <f t="shared" si="8"/>
        <v>86.365384615384613</v>
      </c>
      <c r="CP29" s="237">
        <v>1281</v>
      </c>
      <c r="CQ29" s="232">
        <f t="shared" si="9"/>
        <v>24.634615384615383</v>
      </c>
      <c r="CR29" s="237">
        <v>16866</v>
      </c>
      <c r="CS29" s="232">
        <f t="shared" si="10"/>
        <v>324.34615384615387</v>
      </c>
      <c r="CT29" s="237">
        <v>16170</v>
      </c>
      <c r="CU29" s="232">
        <f t="shared" si="11"/>
        <v>310.96153846153845</v>
      </c>
      <c r="CV29" s="237">
        <v>3357</v>
      </c>
      <c r="CW29" s="237">
        <v>42165</v>
      </c>
      <c r="CX29" s="233">
        <v>38808</v>
      </c>
      <c r="DP29" s="142" t="s">
        <v>1767</v>
      </c>
      <c r="DQ29" s="142" t="s">
        <v>1760</v>
      </c>
      <c r="DR29" s="142" t="s">
        <v>2672</v>
      </c>
      <c r="DS29" s="142" t="s">
        <v>2688</v>
      </c>
      <c r="DU29" s="181" t="s">
        <v>1211</v>
      </c>
      <c r="DV29" s="182" t="s">
        <v>1278</v>
      </c>
      <c r="DW29" s="135" t="s">
        <v>1598</v>
      </c>
      <c r="DX29" s="200">
        <f t="shared" si="13"/>
        <v>26.25</v>
      </c>
      <c r="DY29" s="135">
        <v>21</v>
      </c>
      <c r="EO29" s="135" t="s">
        <v>2821</v>
      </c>
      <c r="EP29" s="135">
        <f t="shared" si="22"/>
        <v>0</v>
      </c>
      <c r="ET29" s="135" t="s">
        <v>2853</v>
      </c>
      <c r="EU29" s="135" t="s">
        <v>2943</v>
      </c>
      <c r="EY29" s="135" t="s">
        <v>2669</v>
      </c>
      <c r="EZ29" s="135" t="s">
        <v>2890</v>
      </c>
      <c r="FA29" s="135" t="s">
        <v>3360</v>
      </c>
      <c r="FB29" s="135" t="str">
        <f t="shared" si="7"/>
        <v>4lgOpname</v>
      </c>
      <c r="FC29" s="156">
        <f>VLOOKUP(EZ29,'Tarieven ZZP'!$D$6:$J$134,7,FALSE)</f>
        <v>255</v>
      </c>
      <c r="FD29" s="156">
        <f t="shared" si="1"/>
        <v>1785</v>
      </c>
      <c r="FI29" s="181" t="s">
        <v>1205</v>
      </c>
      <c r="FJ29" s="135">
        <v>1</v>
      </c>
    </row>
    <row r="30" spans="1:166" ht="19.5" customHeight="1" thickBot="1" x14ac:dyDescent="0.35">
      <c r="B30" s="285"/>
      <c r="C30" s="321">
        <f t="shared" si="14"/>
        <v>0</v>
      </c>
      <c r="D30" s="285"/>
      <c r="E30" s="285"/>
      <c r="F30" s="286"/>
      <c r="G30" s="287">
        <f t="shared" si="15"/>
        <v>0</v>
      </c>
      <c r="H30" s="363">
        <f>U42</f>
        <v>0</v>
      </c>
      <c r="I30" s="365">
        <f t="shared" si="16"/>
        <v>0</v>
      </c>
      <c r="K30" s="359">
        <f t="shared" si="17"/>
        <v>0</v>
      </c>
      <c r="L30" s="475" t="str">
        <f>IFERROR(VLOOKUP(M95,E95:F108,2,0)," ")</f>
        <v xml:space="preserve"> </v>
      </c>
      <c r="M30" s="476"/>
      <c r="N30" s="288">
        <f t="shared" si="21"/>
        <v>0</v>
      </c>
      <c r="O30" s="395" t="s">
        <v>1811</v>
      </c>
      <c r="P30" s="461" t="str">
        <f ca="1">IF(AND(P28="",P29="",P27="Nee",X28=""),Z26,IF(AND(P28="",P29="",P27="Nee",X28=1),Y24,""))</f>
        <v/>
      </c>
      <c r="Q30" s="462"/>
      <c r="R30" s="462"/>
      <c r="S30" s="294"/>
      <c r="U30" s="262">
        <f t="shared" si="23"/>
        <v>0</v>
      </c>
      <c r="V30" s="133">
        <f t="shared" si="24"/>
        <v>0</v>
      </c>
      <c r="W30" s="142">
        <f t="shared" si="25"/>
        <v>0</v>
      </c>
      <c r="X30" s="135">
        <f t="shared" si="26"/>
        <v>0</v>
      </c>
      <c r="AC30" s="150"/>
      <c r="AD30" s="150"/>
      <c r="AE30" s="142" t="s">
        <v>1761</v>
      </c>
      <c r="AF30" s="143"/>
      <c r="AG30" s="150"/>
      <c r="AH30" s="150"/>
      <c r="AI30" s="150"/>
      <c r="AJ30" s="135" t="s">
        <v>2826</v>
      </c>
      <c r="AK30" s="135" t="s">
        <v>2786</v>
      </c>
      <c r="AL30" s="151"/>
      <c r="AM30" s="151"/>
      <c r="AN30" s="170">
        <v>22</v>
      </c>
      <c r="AO30" s="170" t="s">
        <v>1553</v>
      </c>
      <c r="AP30" s="170"/>
      <c r="AQ30" s="170"/>
      <c r="AR30" s="170"/>
      <c r="AS30" s="170"/>
      <c r="AT30" s="170"/>
      <c r="AU30" s="170"/>
      <c r="AV30" s="170"/>
      <c r="AW30" s="170"/>
      <c r="AX30" s="165" t="s">
        <v>1670</v>
      </c>
      <c r="AY30" s="135" t="s">
        <v>395</v>
      </c>
      <c r="AZ30" s="206">
        <f>VLOOKUP(AY30,'Tarieven ZIN prestaties'!$B$1:$D$84,2,FALSE)</f>
        <v>127.83</v>
      </c>
      <c r="BA30" s="207"/>
      <c r="BD30" s="181" t="s">
        <v>1210</v>
      </c>
      <c r="BE30" s="209">
        <v>842</v>
      </c>
      <c r="BF30" s="182" t="s">
        <v>1278</v>
      </c>
      <c r="BG30" s="210">
        <f>VLOOKUP(BD30,'PGB tarieven'!$A$7:$M$53,13,FALSE)</f>
        <v>48431</v>
      </c>
      <c r="BH30" s="211">
        <f t="shared" si="5"/>
        <v>928.81369863013697</v>
      </c>
      <c r="BI30" s="193"/>
      <c r="BJ30" s="193"/>
      <c r="BK30" s="212" t="s">
        <v>1243</v>
      </c>
      <c r="BL30" s="175">
        <f>VLOOKUP(BK30,'Ruimte behandeling basis MPT'!$A$2:$H$41,8,FALSE)</f>
        <v>0</v>
      </c>
      <c r="BM30" s="181" t="s">
        <v>1242</v>
      </c>
      <c r="BN30" s="209">
        <v>784</v>
      </c>
      <c r="BO30" s="182" t="s">
        <v>1244</v>
      </c>
      <c r="BP30" s="253">
        <f>VLOOKUP(BM30,'PGB tarieven'!$A$7:$M$53,13,FALSE)</f>
        <v>67368</v>
      </c>
      <c r="BQ30" s="211">
        <f t="shared" si="12"/>
        <v>1291.9890410958906</v>
      </c>
      <c r="BR30" s="135">
        <v>0</v>
      </c>
      <c r="BS30" s="135" t="s">
        <v>1814</v>
      </c>
      <c r="BZ30" s="214" t="s">
        <v>1298</v>
      </c>
      <c r="CA30" s="214">
        <f t="shared" si="19"/>
        <v>0</v>
      </c>
      <c r="CB30" s="214">
        <v>147.47</v>
      </c>
      <c r="CC30" s="214" t="s">
        <v>401</v>
      </c>
      <c r="CD30" s="214">
        <f t="shared" si="20"/>
        <v>0</v>
      </c>
      <c r="CE30" s="214"/>
      <c r="CF30" s="214"/>
      <c r="CG30" s="214"/>
      <c r="CH30" s="214"/>
      <c r="CI30" s="181" t="s">
        <v>1210</v>
      </c>
      <c r="CJ30" s="209" t="s">
        <v>1633</v>
      </c>
      <c r="CK30" s="215" t="s">
        <v>1244</v>
      </c>
      <c r="CL30" s="230" t="s">
        <v>1199</v>
      </c>
      <c r="CM30" s="231">
        <v>822</v>
      </c>
      <c r="CN30" s="232">
        <v>12711</v>
      </c>
      <c r="CO30" s="232">
        <f t="shared" si="8"/>
        <v>244.44230769230768</v>
      </c>
      <c r="CP30" s="232">
        <v>1281</v>
      </c>
      <c r="CQ30" s="232">
        <f t="shared" si="9"/>
        <v>24.634615384615383</v>
      </c>
      <c r="CR30" s="232">
        <v>16866</v>
      </c>
      <c r="CS30" s="232">
        <f t="shared" si="10"/>
        <v>324.34615384615387</v>
      </c>
      <c r="CT30" s="232">
        <v>16170</v>
      </c>
      <c r="CU30" s="232">
        <f t="shared" si="11"/>
        <v>310.96153846153845</v>
      </c>
      <c r="CV30" s="232">
        <v>3357</v>
      </c>
      <c r="CW30" s="232">
        <v>50385</v>
      </c>
      <c r="CX30" s="233">
        <v>47028</v>
      </c>
      <c r="DP30" s="142" t="s">
        <v>1768</v>
      </c>
      <c r="DQ30" s="142" t="s">
        <v>1761</v>
      </c>
      <c r="DR30" s="142" t="s">
        <v>2682</v>
      </c>
      <c r="DS30" s="142" t="s">
        <v>1543</v>
      </c>
      <c r="DU30" s="181" t="s">
        <v>1212</v>
      </c>
      <c r="DV30" s="182" t="s">
        <v>1278</v>
      </c>
      <c r="DW30" s="135" t="s">
        <v>1598</v>
      </c>
      <c r="DX30" s="200">
        <f t="shared" si="13"/>
        <v>37.5</v>
      </c>
      <c r="DY30" s="135">
        <v>30</v>
      </c>
      <c r="EP30" s="135">
        <f t="shared" si="22"/>
        <v>0</v>
      </c>
      <c r="ET30" s="135" t="s">
        <v>2859</v>
      </c>
      <c r="EU30" s="135" t="s">
        <v>2949</v>
      </c>
      <c r="EY30" s="135" t="s">
        <v>2670</v>
      </c>
      <c r="EZ30" s="135" t="s">
        <v>2891</v>
      </c>
      <c r="FA30" s="135" t="s">
        <v>3360</v>
      </c>
      <c r="FB30" s="135" t="str">
        <f t="shared" si="7"/>
        <v>5lgOpname</v>
      </c>
      <c r="FC30" s="156">
        <f>VLOOKUP(EZ30,'Tarieven ZZP'!$D$6:$J$134,7,FALSE)</f>
        <v>274.66000000000003</v>
      </c>
      <c r="FD30" s="156">
        <f t="shared" si="1"/>
        <v>1922.6200000000001</v>
      </c>
      <c r="FI30" s="181" t="s">
        <v>1206</v>
      </c>
      <c r="FJ30" s="135">
        <v>1</v>
      </c>
    </row>
    <row r="31" spans="1:166" ht="19.5" thickBot="1" x14ac:dyDescent="0.35">
      <c r="B31" s="285"/>
      <c r="C31" s="321">
        <f t="shared" si="14"/>
        <v>0</v>
      </c>
      <c r="D31" s="285"/>
      <c r="E31" s="285"/>
      <c r="F31" s="286"/>
      <c r="G31" s="287">
        <f t="shared" si="15"/>
        <v>0</v>
      </c>
      <c r="H31" s="363">
        <f>U43</f>
        <v>0</v>
      </c>
      <c r="I31" s="365">
        <f t="shared" si="16"/>
        <v>0</v>
      </c>
      <c r="K31" s="359">
        <f t="shared" si="17"/>
        <v>0</v>
      </c>
      <c r="L31" s="475" t="str">
        <f>IFERROR(IFERROR(VLOOKUP(M96,E96:F109,2,0)," ")," ")</f>
        <v xml:space="preserve"> </v>
      </c>
      <c r="M31" s="476"/>
      <c r="N31" s="288">
        <f t="shared" si="21"/>
        <v>0</v>
      </c>
      <c r="O31" s="393"/>
      <c r="P31" s="394"/>
      <c r="Q31" s="394"/>
      <c r="R31" s="394"/>
      <c r="S31" s="294"/>
      <c r="U31" s="262">
        <f t="shared" si="23"/>
        <v>0</v>
      </c>
      <c r="V31" s="133">
        <f t="shared" si="24"/>
        <v>0</v>
      </c>
      <c r="W31" s="142">
        <f t="shared" si="25"/>
        <v>0</v>
      </c>
      <c r="X31" s="135">
        <f t="shared" si="26"/>
        <v>0</v>
      </c>
      <c r="AC31" s="150"/>
      <c r="AD31" s="150"/>
      <c r="AE31" s="142" t="s">
        <v>1762</v>
      </c>
      <c r="AF31" s="143"/>
      <c r="AG31" s="150"/>
      <c r="AH31" s="150"/>
      <c r="AI31" s="150"/>
      <c r="AJ31" s="135" t="s">
        <v>2827</v>
      </c>
      <c r="AK31" s="135" t="s">
        <v>2787</v>
      </c>
      <c r="AL31" s="151"/>
      <c r="AM31" s="151"/>
      <c r="AN31" s="170">
        <v>23</v>
      </c>
      <c r="AO31" s="170" t="s">
        <v>1553</v>
      </c>
      <c r="AP31" s="170"/>
      <c r="AQ31" s="170"/>
      <c r="AR31" s="170"/>
      <c r="AS31" s="170"/>
      <c r="AT31" s="170"/>
      <c r="AU31" s="170"/>
      <c r="AV31" s="170"/>
      <c r="AW31" s="170"/>
      <c r="AX31" s="165" t="s">
        <v>1659</v>
      </c>
      <c r="AY31" s="135" t="s">
        <v>419</v>
      </c>
      <c r="AZ31" s="206">
        <f>VLOOKUP(AY31,'Tarieven ZIN prestaties'!$B$1:$D$84,2,FALSE)</f>
        <v>127.83</v>
      </c>
      <c r="BA31" s="207"/>
      <c r="BD31" s="181" t="s">
        <v>1211</v>
      </c>
      <c r="BE31" s="209">
        <v>844</v>
      </c>
      <c r="BF31" s="182" t="s">
        <v>1278</v>
      </c>
      <c r="BG31" s="210">
        <f>VLOOKUP(BD31,'PGB tarieven'!$A$7:$M$53,13,FALSE)</f>
        <v>56700</v>
      </c>
      <c r="BH31" s="211">
        <f t="shared" si="5"/>
        <v>1087.3972602739725</v>
      </c>
      <c r="BI31" s="193"/>
      <c r="BJ31" s="193"/>
      <c r="BK31" s="212" t="s">
        <v>1198</v>
      </c>
      <c r="BL31" s="175">
        <f>VLOOKUP(BK31,'Ruimte behandeling basis MPT'!$A$2:$H$41,8,FALSE)</f>
        <v>0</v>
      </c>
      <c r="BM31" s="181" t="s">
        <v>1243</v>
      </c>
      <c r="BN31" s="209">
        <v>790</v>
      </c>
      <c r="BO31" s="182" t="s">
        <v>1244</v>
      </c>
      <c r="BP31" s="253">
        <f>VLOOKUP(BM31,'PGB tarieven'!$A$7:$M$53,13,FALSE)</f>
        <v>60587</v>
      </c>
      <c r="BQ31" s="211">
        <f t="shared" si="12"/>
        <v>1161.9424657534246</v>
      </c>
      <c r="BR31" s="135">
        <v>2085</v>
      </c>
      <c r="BS31" s="135" t="s">
        <v>1813</v>
      </c>
      <c r="BZ31" s="214" t="s">
        <v>1295</v>
      </c>
      <c r="CA31" s="214">
        <f t="shared" si="19"/>
        <v>0</v>
      </c>
      <c r="CB31" s="214">
        <v>155.15</v>
      </c>
      <c r="CC31" s="214" t="s">
        <v>421</v>
      </c>
      <c r="CD31" s="214">
        <f t="shared" si="20"/>
        <v>0</v>
      </c>
      <c r="CE31" s="214"/>
      <c r="CF31" s="214"/>
      <c r="CG31" s="214"/>
      <c r="CH31" s="214"/>
      <c r="CI31" s="181" t="s">
        <v>1211</v>
      </c>
      <c r="CJ31" s="209" t="s">
        <v>1633</v>
      </c>
      <c r="CK31" s="215" t="s">
        <v>1244</v>
      </c>
      <c r="CL31" s="235" t="s">
        <v>1200</v>
      </c>
      <c r="CM31" s="236">
        <v>824</v>
      </c>
      <c r="CN31" s="237">
        <v>12711</v>
      </c>
      <c r="CO31" s="232">
        <f t="shared" si="8"/>
        <v>244.44230769230768</v>
      </c>
      <c r="CP31" s="237">
        <v>1281</v>
      </c>
      <c r="CQ31" s="232">
        <f t="shared" si="9"/>
        <v>24.634615384615383</v>
      </c>
      <c r="CR31" s="237">
        <v>10907</v>
      </c>
      <c r="CS31" s="232">
        <f t="shared" si="10"/>
        <v>209.75</v>
      </c>
      <c r="CT31" s="237">
        <v>18622</v>
      </c>
      <c r="CU31" s="232">
        <f t="shared" si="11"/>
        <v>358.11538461538464</v>
      </c>
      <c r="CV31" s="237">
        <v>3357</v>
      </c>
      <c r="CW31" s="237">
        <v>46878</v>
      </c>
      <c r="CX31" s="233">
        <v>43521</v>
      </c>
      <c r="DP31" s="142"/>
      <c r="DQ31" s="142" t="s">
        <v>1762</v>
      </c>
      <c r="DR31" s="142" t="s">
        <v>2683</v>
      </c>
      <c r="DS31" s="142" t="s">
        <v>1543</v>
      </c>
      <c r="DU31" s="181" t="s">
        <v>1213</v>
      </c>
      <c r="DV31" s="182" t="s">
        <v>1278</v>
      </c>
      <c r="DW31" s="135" t="s">
        <v>1631</v>
      </c>
      <c r="DX31" s="200">
        <f t="shared" si="13"/>
        <v>41.25</v>
      </c>
      <c r="DY31" s="254">
        <v>33</v>
      </c>
      <c r="EO31" s="142" t="str">
        <f t="shared" ref="EO31:EO39" si="27">CONCATENATE($F$5,$G$8,B18)</f>
        <v/>
      </c>
      <c r="EP31" s="135">
        <f t="shared" si="22"/>
        <v>0</v>
      </c>
      <c r="ET31" s="135" t="s">
        <v>2842</v>
      </c>
      <c r="EU31" s="135" t="s">
        <v>2778</v>
      </c>
      <c r="EY31" s="135" t="s">
        <v>2671</v>
      </c>
      <c r="EZ31" s="135" t="s">
        <v>2892</v>
      </c>
      <c r="FA31" s="135" t="s">
        <v>3360</v>
      </c>
      <c r="FB31" s="135" t="str">
        <f t="shared" si="7"/>
        <v>6lgOpname</v>
      </c>
      <c r="FC31" s="156">
        <f>VLOOKUP(EZ31,'Tarieven ZZP'!$D$6:$J$134,7,FALSE)</f>
        <v>340.27</v>
      </c>
      <c r="FD31" s="156">
        <f t="shared" si="1"/>
        <v>2381.89</v>
      </c>
      <c r="FI31" s="181" t="s">
        <v>1207</v>
      </c>
      <c r="FJ31" s="135">
        <v>1</v>
      </c>
    </row>
    <row r="32" spans="1:166" ht="21.75" thickBot="1" x14ac:dyDescent="0.4">
      <c r="B32" s="350" t="str">
        <f>IF(M5="extramurale ruimte","Totale omvang ZIN thuis excl. Behandeling","Totale omvang ZIN")</f>
        <v>Totale omvang ZIN thuis excl. Behandeling</v>
      </c>
      <c r="C32" s="351"/>
      <c r="D32" s="351"/>
      <c r="E32" s="351"/>
      <c r="F32" s="351"/>
      <c r="G32" s="351"/>
      <c r="H32" s="351"/>
      <c r="I32" s="352">
        <f ca="1">IF(M6="extramurale ruimte",BC14,BC14+BC11)</f>
        <v>0</v>
      </c>
      <c r="K32" s="361">
        <f ca="1">IFERROR(I32/M6,0)</f>
        <v>0</v>
      </c>
      <c r="L32" s="475" t="str">
        <f>IFERROR(IFERROR(VLOOKUP(M97,E97:F110,2,0)," ")," ")</f>
        <v xml:space="preserve"> </v>
      </c>
      <c r="M32" s="476"/>
      <c r="N32" s="288">
        <f t="shared" si="21"/>
        <v>0</v>
      </c>
      <c r="O32" s="393"/>
      <c r="P32" s="394"/>
      <c r="Q32" s="394"/>
      <c r="R32" s="394"/>
      <c r="S32" s="294"/>
      <c r="U32" s="262">
        <f t="shared" si="23"/>
        <v>0</v>
      </c>
      <c r="V32" s="133">
        <f t="shared" si="24"/>
        <v>0</v>
      </c>
      <c r="W32" s="142">
        <f t="shared" si="25"/>
        <v>0</v>
      </c>
      <c r="X32" s="135">
        <f t="shared" si="26"/>
        <v>0</v>
      </c>
      <c r="Z32" s="135">
        <f>IFERROR(VLOOKUP($Q$22,$T$46:$V$50,2,FALSE),0)</f>
        <v>0</v>
      </c>
      <c r="AA32" s="135">
        <f>IF(Z32=0,1,2)</f>
        <v>1</v>
      </c>
      <c r="AC32" s="150"/>
      <c r="AD32" s="150"/>
      <c r="AE32" s="142" t="s">
        <v>1763</v>
      </c>
      <c r="AF32" s="143"/>
      <c r="AG32" s="150"/>
      <c r="AH32" s="150"/>
      <c r="AI32" s="150"/>
      <c r="AJ32" s="135" t="s">
        <v>2828</v>
      </c>
      <c r="AK32" s="135" t="s">
        <v>2788</v>
      </c>
      <c r="AL32" s="151"/>
      <c r="AM32" s="151"/>
      <c r="AN32" s="170">
        <v>24</v>
      </c>
      <c r="AO32" s="170" t="s">
        <v>1553</v>
      </c>
      <c r="AP32" s="170"/>
      <c r="AQ32" s="170"/>
      <c r="AR32" s="170"/>
      <c r="AS32" s="170"/>
      <c r="AT32" s="170"/>
      <c r="AU32" s="170"/>
      <c r="AV32" s="170"/>
      <c r="AW32" s="170"/>
      <c r="AX32" s="165" t="s">
        <v>1660</v>
      </c>
      <c r="AY32" s="135" t="s">
        <v>411</v>
      </c>
      <c r="AZ32" s="206">
        <f>VLOOKUP(AY32,'Tarieven ZIN prestaties'!$B$1:$D$84,2,FALSE)</f>
        <v>127.83</v>
      </c>
      <c r="BA32" s="207"/>
      <c r="BD32" s="181" t="s">
        <v>1212</v>
      </c>
      <c r="BE32" s="209">
        <v>846</v>
      </c>
      <c r="BF32" s="182" t="s">
        <v>1278</v>
      </c>
      <c r="BG32" s="210">
        <f>VLOOKUP(BD32,'PGB tarieven'!$A$7:$M$53,13,FALSE)</f>
        <v>76733</v>
      </c>
      <c r="BH32" s="211">
        <f t="shared" si="5"/>
        <v>1471.5917808219178</v>
      </c>
      <c r="BI32" s="193"/>
      <c r="BJ32" s="193"/>
      <c r="BK32" s="212" t="s">
        <v>1199</v>
      </c>
      <c r="BL32" s="175">
        <f>VLOOKUP(BK32,'Ruimte behandeling basis MPT'!$A$2:$H$41,8,FALSE)</f>
        <v>0</v>
      </c>
      <c r="BR32" s="135">
        <v>85</v>
      </c>
      <c r="BS32" s="135" t="s">
        <v>1814</v>
      </c>
      <c r="BZ32" s="214"/>
      <c r="CA32" s="214"/>
      <c r="CB32" s="214"/>
      <c r="CC32" s="214" t="s">
        <v>1619</v>
      </c>
      <c r="CD32" s="214">
        <f>SUM(CD26:CD31)</f>
        <v>0</v>
      </c>
      <c r="CE32" s="214"/>
      <c r="CF32" s="214"/>
      <c r="CG32" s="214"/>
      <c r="CH32" s="214"/>
      <c r="CI32" s="181" t="s">
        <v>1212</v>
      </c>
      <c r="CJ32" s="209" t="s">
        <v>1633</v>
      </c>
      <c r="CK32" s="215" t="s">
        <v>1244</v>
      </c>
      <c r="CL32" s="230" t="s">
        <v>1201</v>
      </c>
      <c r="CM32" s="231">
        <v>826</v>
      </c>
      <c r="CN32" s="232">
        <v>12711</v>
      </c>
      <c r="CO32" s="232">
        <f t="shared" si="8"/>
        <v>244.44230769230768</v>
      </c>
      <c r="CP32" s="232">
        <v>1281</v>
      </c>
      <c r="CQ32" s="232">
        <f t="shared" si="9"/>
        <v>24.634615384615383</v>
      </c>
      <c r="CR32" s="232">
        <v>16866</v>
      </c>
      <c r="CS32" s="232">
        <f t="shared" si="10"/>
        <v>324.34615384615387</v>
      </c>
      <c r="CT32" s="232">
        <v>16170</v>
      </c>
      <c r="CU32" s="232">
        <f t="shared" si="11"/>
        <v>310.96153846153845</v>
      </c>
      <c r="CV32" s="232">
        <v>3357</v>
      </c>
      <c r="CW32" s="232">
        <v>50385</v>
      </c>
      <c r="CX32" s="233">
        <v>47028</v>
      </c>
      <c r="DP32" s="142"/>
      <c r="DQ32" s="142" t="s">
        <v>1763</v>
      </c>
      <c r="DR32" s="142" t="s">
        <v>2684</v>
      </c>
      <c r="DS32" s="142" t="s">
        <v>1543</v>
      </c>
      <c r="DU32" s="181" t="s">
        <v>1205</v>
      </c>
      <c r="DV32" s="182" t="s">
        <v>1278</v>
      </c>
      <c r="DW32" s="135" t="s">
        <v>1598</v>
      </c>
      <c r="DX32" s="200">
        <f t="shared" si="13"/>
        <v>24.375</v>
      </c>
      <c r="DY32" s="135">
        <v>19.5</v>
      </c>
      <c r="EO32" s="142" t="str">
        <f t="shared" si="27"/>
        <v/>
      </c>
      <c r="EP32" s="135">
        <f t="shared" si="22"/>
        <v>0</v>
      </c>
      <c r="ET32" s="135" t="s">
        <v>2848</v>
      </c>
      <c r="EU32" s="135" t="s">
        <v>2938</v>
      </c>
      <c r="EY32" s="135" t="s">
        <v>2672</v>
      </c>
      <c r="EZ32" s="135" t="s">
        <v>2893</v>
      </c>
      <c r="FA32" s="135" t="s">
        <v>3360</v>
      </c>
      <c r="FB32" s="135" t="str">
        <f t="shared" si="7"/>
        <v>7lgOpname</v>
      </c>
      <c r="FC32" s="156">
        <f>VLOOKUP(EZ32,'Tarieven ZZP'!$D$6:$J$134,7,FALSE)</f>
        <v>351.58</v>
      </c>
      <c r="FD32" s="156">
        <f t="shared" si="1"/>
        <v>2461.06</v>
      </c>
      <c r="FI32" s="181" t="s">
        <v>1208</v>
      </c>
      <c r="FJ32" s="135">
        <v>1</v>
      </c>
    </row>
    <row r="33" spans="1:166" ht="21.75" thickBot="1" x14ac:dyDescent="0.4">
      <c r="B33" s="350" t="str">
        <f>IF(M5="extramurale ruimte","Totale omvang behandeling"," ")</f>
        <v>Totale omvang behandeling</v>
      </c>
      <c r="C33" s="351"/>
      <c r="D33" s="351"/>
      <c r="E33" s="351"/>
      <c r="F33" s="351"/>
      <c r="G33" s="351"/>
      <c r="H33" s="351"/>
      <c r="I33" s="353">
        <f ca="1">IF(M5="extramurale ruimte",BC11,0)</f>
        <v>0</v>
      </c>
      <c r="K33" s="366">
        <f ca="1">IFERROR(I33/M6,0)</f>
        <v>0</v>
      </c>
      <c r="L33" s="475" t="str">
        <f t="shared" ref="L33:L38" si="28">IFERROR(VLOOKUP(M98,E98:F111,2,0)," ")</f>
        <v xml:space="preserve"> </v>
      </c>
      <c r="M33" s="476"/>
      <c r="N33" s="288">
        <f t="shared" si="21"/>
        <v>0</v>
      </c>
      <c r="O33" s="393"/>
      <c r="P33" s="394"/>
      <c r="Q33" s="394"/>
      <c r="R33" s="394"/>
      <c r="S33" s="294"/>
      <c r="U33" s="262">
        <f t="shared" si="23"/>
        <v>0</v>
      </c>
      <c r="V33" s="133">
        <f t="shared" si="24"/>
        <v>0</v>
      </c>
      <c r="W33" s="142">
        <f t="shared" si="25"/>
        <v>0</v>
      </c>
      <c r="X33" s="135">
        <f t="shared" si="26"/>
        <v>0</v>
      </c>
      <c r="Z33" s="135">
        <f>IFERROR(VLOOKUP(Q24,U52:U55,1,FALSE),0)</f>
        <v>0</v>
      </c>
      <c r="AA33" s="135">
        <f>IF(Z33=0,1,2)</f>
        <v>1</v>
      </c>
      <c r="AB33" s="135">
        <f>IF(AA35="ja",4,2)</f>
        <v>2</v>
      </c>
      <c r="AC33" s="150"/>
      <c r="AD33" s="150"/>
      <c r="AE33" s="142" t="s">
        <v>1764</v>
      </c>
      <c r="AF33" s="143"/>
      <c r="AG33" s="150"/>
      <c r="AH33" s="150"/>
      <c r="AI33" s="150"/>
      <c r="AJ33" s="135" t="s">
        <v>2829</v>
      </c>
      <c r="AK33" s="135" t="s">
        <v>2789</v>
      </c>
      <c r="AL33" s="151"/>
      <c r="AM33" s="151"/>
      <c r="AN33" s="170">
        <v>25</v>
      </c>
      <c r="AO33" s="170" t="s">
        <v>1553</v>
      </c>
      <c r="AP33" s="170"/>
      <c r="AQ33" s="170"/>
      <c r="AR33" s="170"/>
      <c r="AS33" s="170"/>
      <c r="AT33" s="170"/>
      <c r="AU33" s="170"/>
      <c r="AV33" s="170"/>
      <c r="AW33" s="170"/>
      <c r="AX33" s="165" t="s">
        <v>1661</v>
      </c>
      <c r="AY33" s="135" t="s">
        <v>403</v>
      </c>
      <c r="AZ33" s="206">
        <f>VLOOKUP(AY33,'Tarieven ZIN prestaties'!$B$1:$D$84,2,FALSE)</f>
        <v>126.07</v>
      </c>
      <c r="BA33" s="207"/>
      <c r="BD33" s="181" t="s">
        <v>1213</v>
      </c>
      <c r="BE33" s="209">
        <v>848</v>
      </c>
      <c r="BF33" s="182" t="s">
        <v>1278</v>
      </c>
      <c r="BG33" s="210">
        <f>VLOOKUP(BD33,'PGB tarieven'!$A$7:$M$53,13,FALSE)</f>
        <v>83240</v>
      </c>
      <c r="BH33" s="211">
        <f t="shared" si="5"/>
        <v>1596.3835616438355</v>
      </c>
      <c r="BI33" s="193"/>
      <c r="BJ33" s="193"/>
      <c r="BK33" s="212" t="s">
        <v>1200</v>
      </c>
      <c r="BL33" s="175">
        <f>VLOOKUP(BK33,'Ruimte behandeling basis MPT'!$A$2:$H$41,8,FALSE)</f>
        <v>163.29768763558633</v>
      </c>
      <c r="BR33" s="135">
        <v>84</v>
      </c>
      <c r="BS33" s="135" t="s">
        <v>1814</v>
      </c>
      <c r="CA33" s="214"/>
      <c r="CB33" s="214"/>
      <c r="CC33" s="214"/>
      <c r="CD33" s="214"/>
      <c r="CE33" s="214"/>
      <c r="CF33" s="214"/>
      <c r="CG33" s="214"/>
      <c r="CH33" s="214"/>
      <c r="CI33" s="181" t="s">
        <v>1213</v>
      </c>
      <c r="CJ33" s="209" t="s">
        <v>1633</v>
      </c>
      <c r="CK33" s="215" t="s">
        <v>1244</v>
      </c>
      <c r="CL33" s="235" t="s">
        <v>1202</v>
      </c>
      <c r="CM33" s="236">
        <v>828</v>
      </c>
      <c r="CN33" s="237">
        <v>17176</v>
      </c>
      <c r="CO33" s="232">
        <f t="shared" si="8"/>
        <v>330.30769230769232</v>
      </c>
      <c r="CP33" s="237">
        <v>3845</v>
      </c>
      <c r="CQ33" s="232">
        <f t="shared" si="9"/>
        <v>73.942307692307693</v>
      </c>
      <c r="CR33" s="237">
        <v>16866</v>
      </c>
      <c r="CS33" s="232">
        <f t="shared" si="10"/>
        <v>324.34615384615387</v>
      </c>
      <c r="CT33" s="237">
        <v>18622</v>
      </c>
      <c r="CU33" s="232">
        <f t="shared" si="11"/>
        <v>358.11538461538464</v>
      </c>
      <c r="CV33" s="237">
        <v>3357</v>
      </c>
      <c r="CW33" s="237">
        <v>59866</v>
      </c>
      <c r="CX33" s="233">
        <v>56509</v>
      </c>
      <c r="DP33" s="142"/>
      <c r="DQ33" s="142" t="s">
        <v>1764</v>
      </c>
      <c r="DR33" s="142" t="s">
        <v>2685</v>
      </c>
      <c r="DS33" s="142" t="s">
        <v>1543</v>
      </c>
      <c r="DU33" s="181" t="s">
        <v>1206</v>
      </c>
      <c r="DV33" s="182" t="s">
        <v>1278</v>
      </c>
      <c r="DW33" s="135" t="s">
        <v>1598</v>
      </c>
      <c r="DX33" s="200">
        <f t="shared" si="13"/>
        <v>48.125</v>
      </c>
      <c r="DY33" s="135">
        <v>38.5</v>
      </c>
      <c r="EO33" s="142" t="str">
        <f t="shared" si="27"/>
        <v/>
      </c>
      <c r="EP33" s="135">
        <f t="shared" si="22"/>
        <v>0</v>
      </c>
      <c r="ET33" s="135" t="s">
        <v>2854</v>
      </c>
      <c r="EU33" s="135" t="s">
        <v>2944</v>
      </c>
      <c r="EY33" s="135" t="s">
        <v>2679</v>
      </c>
      <c r="EZ33" s="135" t="s">
        <v>2906</v>
      </c>
      <c r="FA33" s="135" t="s">
        <v>3360</v>
      </c>
      <c r="FB33" s="135" t="str">
        <f t="shared" si="7"/>
        <v>1zgaudOpname</v>
      </c>
      <c r="FC33" s="156">
        <f>VLOOKUP(EZ33,'Tarieven ZZP'!$D$6:$J$134,7,FALSE)</f>
        <v>214.44</v>
      </c>
      <c r="FD33" s="156">
        <f t="shared" si="1"/>
        <v>1501.08</v>
      </c>
      <c r="FI33" s="181" t="s">
        <v>1223</v>
      </c>
      <c r="FJ33" s="135">
        <v>2</v>
      </c>
    </row>
    <row r="34" spans="1:166" ht="19.5" customHeight="1" thickBot="1" x14ac:dyDescent="0.4">
      <c r="B34" s="350" t="s">
        <v>3355</v>
      </c>
      <c r="C34" s="351"/>
      <c r="D34" s="351"/>
      <c r="E34" s="351"/>
      <c r="F34" s="351"/>
      <c r="G34" s="351"/>
      <c r="H34" s="351"/>
      <c r="I34" s="331">
        <f>M8</f>
        <v>0</v>
      </c>
      <c r="J34" s="351"/>
      <c r="K34" s="366" t="str">
        <f>N8</f>
        <v xml:space="preserve"> </v>
      </c>
      <c r="L34" s="475" t="str">
        <f t="shared" ca="1" si="28"/>
        <v xml:space="preserve"> </v>
      </c>
      <c r="M34" s="476"/>
      <c r="N34" s="288">
        <f t="shared" ca="1" si="21"/>
        <v>0</v>
      </c>
      <c r="O34" s="393"/>
      <c r="P34" s="394"/>
      <c r="Q34" s="394"/>
      <c r="R34" s="394"/>
      <c r="S34" s="294"/>
      <c r="U34" s="262">
        <f t="shared" si="23"/>
        <v>0</v>
      </c>
      <c r="V34" s="133">
        <f t="shared" si="24"/>
        <v>0</v>
      </c>
      <c r="W34" s="142">
        <f t="shared" si="25"/>
        <v>0</v>
      </c>
      <c r="X34" s="135">
        <f t="shared" si="26"/>
        <v>0</v>
      </c>
      <c r="AB34" s="135">
        <f>SUM(AA33:AB33)</f>
        <v>3</v>
      </c>
      <c r="AC34" s="150"/>
      <c r="AD34" s="150"/>
      <c r="AE34" s="142" t="s">
        <v>1765</v>
      </c>
      <c r="AF34" s="143"/>
      <c r="AG34" s="150"/>
      <c r="AH34" s="150"/>
      <c r="AI34" s="150"/>
      <c r="AJ34" s="135" t="s">
        <v>2830</v>
      </c>
      <c r="AK34" s="135" t="s">
        <v>2790</v>
      </c>
      <c r="AL34" s="151"/>
      <c r="AM34" s="151"/>
      <c r="AN34" s="170">
        <v>5</v>
      </c>
      <c r="AO34" s="170" t="s">
        <v>1548</v>
      </c>
      <c r="AP34" s="170"/>
      <c r="AQ34" s="170"/>
      <c r="AR34" s="170"/>
      <c r="AS34" s="170"/>
      <c r="AT34" s="170"/>
      <c r="AU34" s="170"/>
      <c r="AV34" s="170"/>
      <c r="AW34" s="170"/>
      <c r="AX34" s="165" t="s">
        <v>1662</v>
      </c>
      <c r="AY34" s="135" t="s">
        <v>437</v>
      </c>
      <c r="AZ34" s="206">
        <f>VLOOKUP(AY34,'Tarieven ZIN prestaties'!$B$1:$D$84,2,FALSE)</f>
        <v>89.55</v>
      </c>
      <c r="BA34" s="207"/>
      <c r="BD34" s="181" t="s">
        <v>1205</v>
      </c>
      <c r="BE34" s="209">
        <v>850</v>
      </c>
      <c r="BF34" s="182" t="s">
        <v>1278</v>
      </c>
      <c r="BG34" s="210">
        <f>VLOOKUP(BD34,'PGB tarieven'!$A$7:$M$53,13,FALSE)</f>
        <v>53188</v>
      </c>
      <c r="BH34" s="211">
        <f t="shared" si="5"/>
        <v>1020.0438356164384</v>
      </c>
      <c r="BI34" s="193"/>
      <c r="BJ34" s="193"/>
      <c r="BK34" s="212" t="s">
        <v>1201</v>
      </c>
      <c r="BL34" s="175">
        <f>VLOOKUP(BK34,'Ruimte behandeling basis MPT'!$A$2:$H$41,8,FALSE)</f>
        <v>255.55828525100969</v>
      </c>
      <c r="BR34" s="135">
        <v>83</v>
      </c>
      <c r="BS34" s="135" t="s">
        <v>1814</v>
      </c>
      <c r="CA34" s="214"/>
      <c r="CB34" s="214"/>
      <c r="CC34" s="214"/>
      <c r="CD34" s="214"/>
      <c r="CE34" s="214" t="s">
        <v>1620</v>
      </c>
      <c r="CF34" s="214"/>
      <c r="CG34" s="263">
        <f>M10</f>
        <v>0</v>
      </c>
      <c r="CH34" s="214"/>
      <c r="CI34" s="181" t="s">
        <v>1205</v>
      </c>
      <c r="CJ34" s="209" t="s">
        <v>1633</v>
      </c>
      <c r="CK34" s="215" t="s">
        <v>1244</v>
      </c>
      <c r="CL34" s="230" t="s">
        <v>1203</v>
      </c>
      <c r="CM34" s="231">
        <v>830</v>
      </c>
      <c r="CN34" s="232">
        <v>21667</v>
      </c>
      <c r="CO34" s="232">
        <f t="shared" si="8"/>
        <v>416.67307692307691</v>
      </c>
      <c r="CP34" s="232">
        <v>7690</v>
      </c>
      <c r="CQ34" s="232">
        <f t="shared" si="9"/>
        <v>147.88461538461539</v>
      </c>
      <c r="CR34" s="232">
        <v>16866</v>
      </c>
      <c r="CS34" s="232">
        <f t="shared" si="10"/>
        <v>324.34615384615387</v>
      </c>
      <c r="CT34" s="232">
        <v>16170</v>
      </c>
      <c r="CU34" s="232">
        <f t="shared" si="11"/>
        <v>310.96153846153845</v>
      </c>
      <c r="CV34" s="232">
        <v>3357</v>
      </c>
      <c r="CW34" s="232">
        <v>65750</v>
      </c>
      <c r="CX34" s="233">
        <v>62393</v>
      </c>
      <c r="DP34" s="142"/>
      <c r="DQ34" s="142" t="s">
        <v>1765</v>
      </c>
      <c r="DR34" s="142" t="s">
        <v>2686</v>
      </c>
      <c r="DS34" s="142" t="s">
        <v>1543</v>
      </c>
      <c r="DU34" s="181" t="s">
        <v>1207</v>
      </c>
      <c r="DV34" s="182" t="s">
        <v>1278</v>
      </c>
      <c r="DW34" s="135" t="s">
        <v>1631</v>
      </c>
      <c r="DX34" s="200">
        <f t="shared" si="13"/>
        <v>58.75</v>
      </c>
      <c r="DY34" s="254">
        <v>47</v>
      </c>
      <c r="EO34" s="142" t="str">
        <f t="shared" si="27"/>
        <v/>
      </c>
      <c r="EP34" s="135">
        <f t="shared" si="22"/>
        <v>0</v>
      </c>
      <c r="ET34" s="135" t="s">
        <v>2860</v>
      </c>
      <c r="EU34" s="135" t="s">
        <v>2950</v>
      </c>
      <c r="EY34" s="135" t="s">
        <v>2687</v>
      </c>
      <c r="EZ34" s="135" t="s">
        <v>2907</v>
      </c>
      <c r="FA34" s="135" t="s">
        <v>3360</v>
      </c>
      <c r="FB34" s="135" t="str">
        <f t="shared" si="7"/>
        <v>2zgaudOpname</v>
      </c>
      <c r="FC34" s="156">
        <f>VLOOKUP(EZ34,'Tarieven ZZP'!$D$6:$J$134,7,FALSE)</f>
        <v>390.88</v>
      </c>
      <c r="FD34" s="156">
        <f t="shared" si="1"/>
        <v>2736.16</v>
      </c>
      <c r="FI34" s="181" t="s">
        <v>1214</v>
      </c>
      <c r="FJ34" s="135">
        <v>2</v>
      </c>
    </row>
    <row r="35" spans="1:166" ht="21.75" thickBot="1" x14ac:dyDescent="0.4">
      <c r="B35" s="350" t="s">
        <v>3354</v>
      </c>
      <c r="C35" s="351"/>
      <c r="D35" s="351"/>
      <c r="E35" s="351"/>
      <c r="F35" s="351"/>
      <c r="G35" s="351"/>
      <c r="H35" s="351"/>
      <c r="I35" s="353">
        <f ca="1">SUM(I32:I34)</f>
        <v>0</v>
      </c>
      <c r="J35" s="351"/>
      <c r="K35" s="330">
        <f ca="1">SUM(K32:K34)</f>
        <v>0</v>
      </c>
      <c r="L35" s="475" t="str">
        <f t="shared" ca="1" si="28"/>
        <v xml:space="preserve"> </v>
      </c>
      <c r="M35" s="476"/>
      <c r="N35" s="288">
        <f t="shared" ca="1" si="21"/>
        <v>0</v>
      </c>
      <c r="O35" s="393"/>
      <c r="P35" s="394"/>
      <c r="Q35" s="394"/>
      <c r="R35" s="394"/>
      <c r="S35" s="294"/>
      <c r="U35" s="262">
        <f t="shared" si="23"/>
        <v>0</v>
      </c>
      <c r="V35" s="133">
        <f t="shared" si="24"/>
        <v>0</v>
      </c>
      <c r="W35" s="142">
        <f t="shared" si="25"/>
        <v>0</v>
      </c>
      <c r="X35" s="135">
        <f t="shared" si="26"/>
        <v>0</v>
      </c>
      <c r="Z35" s="135">
        <f>IFERROR(IF(AA35="ja","toeslag beademing",VLOOKUP(Q24,U51:U55,1,0)),0)</f>
        <v>0</v>
      </c>
      <c r="AA35" s="135" t="str">
        <f>LEFT(Q23,2)</f>
        <v/>
      </c>
      <c r="AC35" s="150"/>
      <c r="AD35" s="150"/>
      <c r="AE35" s="142" t="s">
        <v>1766</v>
      </c>
      <c r="AF35" s="143"/>
      <c r="AG35" s="150"/>
      <c r="AH35" s="150"/>
      <c r="AI35" s="150"/>
      <c r="AJ35" s="135" t="s">
        <v>2831</v>
      </c>
      <c r="AK35" s="135" t="s">
        <v>2791</v>
      </c>
      <c r="AL35" s="151"/>
      <c r="AM35" s="151"/>
      <c r="AN35" s="170">
        <v>6</v>
      </c>
      <c r="AO35" s="170" t="s">
        <v>1548</v>
      </c>
      <c r="AP35" s="170"/>
      <c r="AQ35" s="170"/>
      <c r="AR35" s="170"/>
      <c r="AS35" s="170"/>
      <c r="AT35" s="170"/>
      <c r="AU35" s="170"/>
      <c r="AV35" s="170"/>
      <c r="AW35" s="170"/>
      <c r="AX35" s="165" t="s">
        <v>1663</v>
      </c>
      <c r="AY35" s="135" t="s">
        <v>397</v>
      </c>
      <c r="AZ35" s="206">
        <f>VLOOKUP(AY35,'Tarieven ZIN prestaties'!$B$1:$D$84,2,FALSE)</f>
        <v>132.69999999999999</v>
      </c>
      <c r="BA35" s="207"/>
      <c r="BD35" s="181" t="s">
        <v>1206</v>
      </c>
      <c r="BE35" s="209">
        <v>852</v>
      </c>
      <c r="BF35" s="182" t="s">
        <v>1278</v>
      </c>
      <c r="BG35" s="210">
        <f>VLOOKUP(BD35,'PGB tarieven'!$A$7:$M$53,13,FALSE)</f>
        <v>95456</v>
      </c>
      <c r="BH35" s="211">
        <f t="shared" si="5"/>
        <v>1830.66301369863</v>
      </c>
      <c r="BI35" s="193"/>
      <c r="BJ35" s="193"/>
      <c r="BK35" s="212" t="s">
        <v>1202</v>
      </c>
      <c r="BL35" s="175">
        <f>VLOOKUP(BK35,'Ruimte behandeling basis MPT'!$A$2:$H$41,8,FALSE)</f>
        <v>261.53494895195973</v>
      </c>
      <c r="BR35" s="135">
        <v>80</v>
      </c>
      <c r="BS35" s="135" t="s">
        <v>1814</v>
      </c>
      <c r="CA35" s="214"/>
      <c r="CB35" s="214"/>
      <c r="CC35" s="214"/>
      <c r="CD35" s="214"/>
      <c r="CE35" s="214" t="s">
        <v>1621</v>
      </c>
      <c r="CF35" s="214"/>
      <c r="CG35" s="214">
        <f>CD32</f>
        <v>0</v>
      </c>
      <c r="CH35" s="214"/>
      <c r="CI35" s="181" t="s">
        <v>1206</v>
      </c>
      <c r="CJ35" s="209" t="s">
        <v>1633</v>
      </c>
      <c r="CK35" s="215" t="s">
        <v>1244</v>
      </c>
      <c r="CL35" s="235" t="s">
        <v>1204</v>
      </c>
      <c r="CM35" s="236">
        <v>832</v>
      </c>
      <c r="CN35" s="237">
        <v>21667</v>
      </c>
      <c r="CO35" s="232">
        <f t="shared" si="8"/>
        <v>416.67307692307691</v>
      </c>
      <c r="CP35" s="237">
        <v>7690</v>
      </c>
      <c r="CQ35" s="232">
        <f t="shared" si="9"/>
        <v>147.88461538461539</v>
      </c>
      <c r="CR35" s="237">
        <v>22788</v>
      </c>
      <c r="CS35" s="232">
        <f t="shared" si="10"/>
        <v>438.23076923076923</v>
      </c>
      <c r="CT35" s="237">
        <v>13721</v>
      </c>
      <c r="CU35" s="232">
        <f t="shared" si="11"/>
        <v>263.86538461538464</v>
      </c>
      <c r="CV35" s="237">
        <v>3357</v>
      </c>
      <c r="CW35" s="237">
        <v>69223</v>
      </c>
      <c r="CX35" s="233">
        <v>65866</v>
      </c>
      <c r="DP35" s="142"/>
      <c r="DQ35" s="142" t="s">
        <v>1766</v>
      </c>
      <c r="DR35" s="142" t="s">
        <v>2674</v>
      </c>
      <c r="DS35" s="142" t="s">
        <v>2689</v>
      </c>
      <c r="DU35" s="181" t="s">
        <v>1208</v>
      </c>
      <c r="DV35" s="182" t="s">
        <v>1278</v>
      </c>
      <c r="DW35" s="135" t="s">
        <v>1598</v>
      </c>
      <c r="DX35" s="200">
        <f t="shared" si="13"/>
        <v>35</v>
      </c>
      <c r="DY35" s="135">
        <v>28</v>
      </c>
      <c r="EO35" s="142" t="str">
        <f t="shared" si="27"/>
        <v/>
      </c>
      <c r="EP35" s="135">
        <f t="shared" si="22"/>
        <v>0</v>
      </c>
      <c r="ET35" s="135" t="s">
        <v>2843</v>
      </c>
      <c r="EU35" s="135" t="s">
        <v>2779</v>
      </c>
      <c r="EY35" s="135" t="s">
        <v>2680</v>
      </c>
      <c r="EZ35" s="135" t="s">
        <v>2908</v>
      </c>
      <c r="FA35" s="135" t="s">
        <v>3360</v>
      </c>
      <c r="FB35" s="135" t="str">
        <f t="shared" si="7"/>
        <v>3zgaudOpname</v>
      </c>
      <c r="FC35" s="156">
        <f>VLOOKUP(EZ35,'Tarieven ZZP'!$D$6:$J$134,7,FALSE)</f>
        <v>457.94</v>
      </c>
      <c r="FD35" s="156">
        <f t="shared" si="1"/>
        <v>3205.58</v>
      </c>
      <c r="FI35" s="181" t="s">
        <v>1215</v>
      </c>
      <c r="FJ35" s="135">
        <v>2</v>
      </c>
    </row>
    <row r="36" spans="1:166" ht="21.75" thickBot="1" x14ac:dyDescent="0.4">
      <c r="B36" s="350"/>
      <c r="C36" s="351"/>
      <c r="D36" s="351"/>
      <c r="E36" s="351"/>
      <c r="F36" s="351"/>
      <c r="G36" s="351"/>
      <c r="H36" s="351"/>
      <c r="I36" s="353"/>
      <c r="L36" s="475" t="str">
        <f t="shared" ca="1" si="28"/>
        <v xml:space="preserve"> </v>
      </c>
      <c r="M36" s="476"/>
      <c r="N36" s="288">
        <f t="shared" ca="1" si="21"/>
        <v>0</v>
      </c>
      <c r="O36" s="393"/>
      <c r="P36" s="394"/>
      <c r="Q36" s="394"/>
      <c r="R36" s="394"/>
      <c r="S36" s="294"/>
      <c r="U36" s="262">
        <f t="shared" si="23"/>
        <v>0</v>
      </c>
      <c r="V36" s="133">
        <f t="shared" si="24"/>
        <v>0</v>
      </c>
      <c r="W36" s="142">
        <f t="shared" si="25"/>
        <v>0</v>
      </c>
      <c r="X36" s="135">
        <f t="shared" si="26"/>
        <v>0</v>
      </c>
      <c r="AC36" s="150"/>
      <c r="AD36" s="150"/>
      <c r="AE36" s="142" t="s">
        <v>1767</v>
      </c>
      <c r="AF36" s="143"/>
      <c r="AG36" s="150"/>
      <c r="AH36" s="150"/>
      <c r="AI36" s="150"/>
      <c r="AJ36" s="135" t="s">
        <v>2832</v>
      </c>
      <c r="AK36" s="135" t="s">
        <v>2792</v>
      </c>
      <c r="AL36" s="151"/>
      <c r="AM36" s="151"/>
      <c r="AN36" s="170">
        <v>7</v>
      </c>
      <c r="AO36" s="170" t="s">
        <v>1549</v>
      </c>
      <c r="AP36" s="170"/>
      <c r="AQ36" s="170"/>
      <c r="AR36" s="170"/>
      <c r="AS36" s="170"/>
      <c r="AT36" s="170"/>
      <c r="AU36" s="170"/>
      <c r="AV36" s="170"/>
      <c r="AW36" s="170"/>
      <c r="AX36" s="165" t="s">
        <v>1671</v>
      </c>
      <c r="AY36" s="135" t="s">
        <v>421</v>
      </c>
      <c r="AZ36" s="206">
        <f>VLOOKUP(AY36,'Tarieven ZIN prestaties'!$B$1:$D$84,2,FALSE)</f>
        <v>144.87</v>
      </c>
      <c r="BA36" s="207"/>
      <c r="BD36" s="181" t="s">
        <v>1207</v>
      </c>
      <c r="BE36" s="209">
        <v>854</v>
      </c>
      <c r="BF36" s="182" t="s">
        <v>1278</v>
      </c>
      <c r="BG36" s="210">
        <f>VLOOKUP(BD36,'PGB tarieven'!$A$7:$M$53,13,FALSE)</f>
        <v>113064</v>
      </c>
      <c r="BH36" s="211">
        <f t="shared" si="5"/>
        <v>2168.3506849315072</v>
      </c>
      <c r="BI36" s="193"/>
      <c r="BJ36" s="193"/>
      <c r="BK36" s="212" t="s">
        <v>1203</v>
      </c>
      <c r="BL36" s="175">
        <f>VLOOKUP(BK36,'Ruimte behandeling basis MPT'!$A$2:$H$41,8,FALSE)</f>
        <v>355.96629627503955</v>
      </c>
      <c r="BR36" s="135">
        <v>88</v>
      </c>
      <c r="BS36" s="135" t="s">
        <v>1814</v>
      </c>
      <c r="CA36" s="214"/>
      <c r="CB36" s="214"/>
      <c r="CC36" s="214"/>
      <c r="CD36" s="214"/>
      <c r="CE36" s="214"/>
      <c r="CF36" s="214"/>
      <c r="CG36" s="263">
        <f>CG34-CG35</f>
        <v>0</v>
      </c>
      <c r="CH36" s="214"/>
      <c r="CI36" s="181" t="s">
        <v>1207</v>
      </c>
      <c r="CJ36" s="209" t="s">
        <v>1633</v>
      </c>
      <c r="CK36" s="215" t="s">
        <v>1244</v>
      </c>
      <c r="CL36" s="230" t="s">
        <v>1209</v>
      </c>
      <c r="CM36" s="231">
        <v>840</v>
      </c>
      <c r="CN36" s="232">
        <v>4491</v>
      </c>
      <c r="CO36" s="232">
        <f t="shared" si="8"/>
        <v>86.365384615384613</v>
      </c>
      <c r="CP36" s="231">
        <v>0</v>
      </c>
      <c r="CQ36" s="232">
        <f t="shared" si="9"/>
        <v>0</v>
      </c>
      <c r="CR36" s="232">
        <v>10907</v>
      </c>
      <c r="CS36" s="232">
        <f t="shared" si="10"/>
        <v>209.75</v>
      </c>
      <c r="CT36" s="232">
        <v>16170</v>
      </c>
      <c r="CU36" s="232">
        <f t="shared" si="11"/>
        <v>310.96153846153845</v>
      </c>
      <c r="CV36" s="232">
        <v>3357</v>
      </c>
      <c r="CW36" s="232">
        <v>34925</v>
      </c>
      <c r="CX36" s="233">
        <v>31568</v>
      </c>
      <c r="DP36" s="142"/>
      <c r="DQ36" s="142" t="s">
        <v>1767</v>
      </c>
      <c r="DR36" s="142" t="s">
        <v>2675</v>
      </c>
      <c r="DS36" s="142" t="s">
        <v>2688</v>
      </c>
      <c r="DU36" s="181" t="s">
        <v>1263</v>
      </c>
      <c r="DV36" s="182" t="s">
        <v>1148</v>
      </c>
      <c r="DW36" s="135" t="s">
        <v>1598</v>
      </c>
      <c r="DX36" s="200">
        <f t="shared" si="13"/>
        <v>8.75</v>
      </c>
      <c r="DY36" s="135">
        <v>7</v>
      </c>
      <c r="EO36" s="142" t="str">
        <f t="shared" si="27"/>
        <v/>
      </c>
      <c r="EP36" s="135">
        <f t="shared" si="22"/>
        <v>0</v>
      </c>
      <c r="ET36" s="135" t="s">
        <v>2849</v>
      </c>
      <c r="EU36" s="135" t="s">
        <v>2939</v>
      </c>
      <c r="EY36" s="135" t="s">
        <v>2681</v>
      </c>
      <c r="EZ36" s="135" t="s">
        <v>2909</v>
      </c>
      <c r="FA36" s="135" t="s">
        <v>3360</v>
      </c>
      <c r="FB36" s="135" t="str">
        <f t="shared" si="7"/>
        <v>4zgaudOpname</v>
      </c>
      <c r="FC36" s="156">
        <f>VLOOKUP(EZ36,'Tarieven ZZP'!$D$6:$J$134,7,FALSE)</f>
        <v>295.83</v>
      </c>
      <c r="FD36" s="156">
        <f t="shared" si="1"/>
        <v>2070.81</v>
      </c>
      <c r="FI36" s="181" t="s">
        <v>1216</v>
      </c>
      <c r="FJ36" s="135">
        <v>2</v>
      </c>
    </row>
    <row r="37" spans="1:166" ht="21.75" thickBot="1" x14ac:dyDescent="0.4">
      <c r="B37" s="350" t="s">
        <v>1815</v>
      </c>
      <c r="C37" s="351"/>
      <c r="D37" s="351"/>
      <c r="E37" s="351"/>
      <c r="F37" s="351"/>
      <c r="G37" s="351"/>
      <c r="H37" s="351"/>
      <c r="I37" s="353"/>
      <c r="L37" s="475" t="str">
        <f t="shared" ca="1" si="28"/>
        <v xml:space="preserve"> </v>
      </c>
      <c r="M37" s="476"/>
      <c r="N37" s="288">
        <f t="shared" ca="1" si="21"/>
        <v>0</v>
      </c>
      <c r="O37" s="393"/>
      <c r="P37" s="394"/>
      <c r="Q37" s="394"/>
      <c r="R37" s="394"/>
      <c r="S37" s="294"/>
      <c r="T37" s="264"/>
      <c r="U37" s="262">
        <f t="shared" si="23"/>
        <v>0</v>
      </c>
      <c r="V37" s="133">
        <f t="shared" si="24"/>
        <v>0</v>
      </c>
      <c r="W37" s="142">
        <f t="shared" si="25"/>
        <v>0</v>
      </c>
      <c r="X37" s="135">
        <f t="shared" si="26"/>
        <v>0</v>
      </c>
      <c r="AB37" s="155">
        <f ca="1">IF(SUM($I$32:$I$33)-($M$10+$T$19)&lt;=0,SUM($I$32:$I$33),$M$10+$T$19)</f>
        <v>0</v>
      </c>
      <c r="AC37" s="150"/>
      <c r="AD37" s="150"/>
      <c r="AE37" s="142" t="s">
        <v>1768</v>
      </c>
      <c r="AF37" s="143"/>
      <c r="AG37" s="150"/>
      <c r="AH37" s="150"/>
      <c r="AI37" s="150"/>
      <c r="AJ37" s="135" t="s">
        <v>2833</v>
      </c>
      <c r="AK37" s="135" t="s">
        <v>2793</v>
      </c>
      <c r="AL37" s="151"/>
      <c r="AM37" s="151"/>
      <c r="AN37" s="170">
        <v>8</v>
      </c>
      <c r="AO37" s="170" t="s">
        <v>1549</v>
      </c>
      <c r="AP37" s="170"/>
      <c r="AQ37" s="170"/>
      <c r="AR37" s="170"/>
      <c r="AS37" s="170"/>
      <c r="AT37" s="170"/>
      <c r="AU37" s="170"/>
      <c r="AV37" s="170"/>
      <c r="AW37" s="170"/>
      <c r="AX37" s="165" t="s">
        <v>1672</v>
      </c>
      <c r="AY37" s="135" t="s">
        <v>423</v>
      </c>
      <c r="AZ37" s="206">
        <f>VLOOKUP(AY37,'Tarieven ZIN prestaties'!$B$1:$D$84,2,FALSE)</f>
        <v>128.44</v>
      </c>
      <c r="BA37" s="207"/>
      <c r="BD37" s="181" t="s">
        <v>1208</v>
      </c>
      <c r="BE37" s="209">
        <v>856</v>
      </c>
      <c r="BF37" s="182" t="s">
        <v>1278</v>
      </c>
      <c r="BG37" s="210">
        <f>VLOOKUP(BD37,'PGB tarieven'!$A$7:$M$53,13,FALSE)</f>
        <v>71931</v>
      </c>
      <c r="BH37" s="211">
        <f t="shared" si="5"/>
        <v>1379.4986301369863</v>
      </c>
      <c r="BI37" s="193"/>
      <c r="BJ37" s="193"/>
      <c r="BK37" s="212" t="s">
        <v>1204</v>
      </c>
      <c r="BL37" s="175">
        <f>VLOOKUP(BK37,'Ruimte behandeling basis MPT'!$A$2:$H$41,8,FALSE)</f>
        <v>380.26058352893313</v>
      </c>
      <c r="BR37" s="135">
        <v>101</v>
      </c>
      <c r="BS37" s="135" t="s">
        <v>1819</v>
      </c>
      <c r="CA37" s="214"/>
      <c r="CB37" s="214"/>
      <c r="CC37" s="214"/>
      <c r="CD37" s="214"/>
      <c r="CE37" s="214"/>
      <c r="CF37" s="214"/>
      <c r="CG37" s="214"/>
      <c r="CH37" s="214"/>
      <c r="CI37" s="181" t="s">
        <v>1208</v>
      </c>
      <c r="CJ37" s="209" t="s">
        <v>1633</v>
      </c>
      <c r="CK37" s="215" t="s">
        <v>1244</v>
      </c>
      <c r="CL37" s="235" t="s">
        <v>1210</v>
      </c>
      <c r="CM37" s="236">
        <v>842</v>
      </c>
      <c r="CN37" s="237">
        <v>4491</v>
      </c>
      <c r="CO37" s="232">
        <f t="shared" si="8"/>
        <v>86.365384615384613</v>
      </c>
      <c r="CP37" s="236">
        <v>0</v>
      </c>
      <c r="CQ37" s="232">
        <f t="shared" si="9"/>
        <v>0</v>
      </c>
      <c r="CR37" s="237">
        <v>22788</v>
      </c>
      <c r="CS37" s="232">
        <f t="shared" si="10"/>
        <v>438.23076923076923</v>
      </c>
      <c r="CT37" s="237">
        <v>13721</v>
      </c>
      <c r="CU37" s="232">
        <f t="shared" si="11"/>
        <v>263.86538461538464</v>
      </c>
      <c r="CV37" s="237">
        <v>3357</v>
      </c>
      <c r="CW37" s="237">
        <v>44357</v>
      </c>
      <c r="CX37" s="233">
        <v>41000</v>
      </c>
      <c r="DP37" s="142"/>
      <c r="DQ37" s="142" t="s">
        <v>1768</v>
      </c>
      <c r="DR37" s="142" t="s">
        <v>2676</v>
      </c>
      <c r="DS37" s="142" t="s">
        <v>2688</v>
      </c>
      <c r="DU37" s="181" t="s">
        <v>1265</v>
      </c>
      <c r="DV37" s="182" t="s">
        <v>1148</v>
      </c>
      <c r="DW37" s="135" t="s">
        <v>1598</v>
      </c>
      <c r="DX37" s="200">
        <f t="shared" si="13"/>
        <v>12.5</v>
      </c>
      <c r="DY37" s="135">
        <v>10</v>
      </c>
      <c r="EO37" s="142" t="str">
        <f t="shared" si="27"/>
        <v/>
      </c>
      <c r="EP37" s="135">
        <f t="shared" si="22"/>
        <v>0</v>
      </c>
      <c r="ET37" s="135" t="s">
        <v>2855</v>
      </c>
      <c r="EU37" s="135" t="s">
        <v>2945</v>
      </c>
      <c r="EY37" s="135" t="s">
        <v>2674</v>
      </c>
      <c r="EZ37" s="135" t="s">
        <v>2912</v>
      </c>
      <c r="FA37" s="135" t="s">
        <v>3360</v>
      </c>
      <c r="FB37" s="135" t="str">
        <f t="shared" si="7"/>
        <v>1zgvisOpname</v>
      </c>
      <c r="FC37" s="156">
        <f>VLOOKUP(EZ37,'Tarieven ZZP'!$D$6:$J$134,7,FALSE)</f>
        <v>159.99</v>
      </c>
      <c r="FD37" s="156">
        <f t="shared" si="1"/>
        <v>1119.93</v>
      </c>
      <c r="FI37" s="181" t="s">
        <v>1217</v>
      </c>
      <c r="FJ37" s="135">
        <v>2</v>
      </c>
    </row>
    <row r="38" spans="1:166" ht="21.75" thickBot="1" x14ac:dyDescent="0.4">
      <c r="B38" s="350" t="s">
        <v>3356</v>
      </c>
      <c r="C38" s="351"/>
      <c r="D38" s="351"/>
      <c r="E38" s="351"/>
      <c r="F38" s="351"/>
      <c r="G38" s="351"/>
      <c r="H38" s="351"/>
      <c r="I38" s="354">
        <f ca="1">IFERROR(VLOOKUP(H74,J71:K75,2,FALSE),0)</f>
        <v>0</v>
      </c>
      <c r="K38" s="330">
        <f ca="1">IFERROR(I38/M6,0)</f>
        <v>0</v>
      </c>
      <c r="L38" s="475" t="str">
        <f t="shared" ca="1" si="28"/>
        <v xml:space="preserve"> </v>
      </c>
      <c r="M38" s="476"/>
      <c r="N38" s="288">
        <f t="shared" ca="1" si="21"/>
        <v>0</v>
      </c>
      <c r="O38" s="393"/>
      <c r="P38" s="394"/>
      <c r="Q38" s="394"/>
      <c r="R38" s="394"/>
      <c r="S38" s="294"/>
      <c r="T38" s="264"/>
      <c r="U38" s="262">
        <f t="shared" si="23"/>
        <v>0</v>
      </c>
      <c r="V38" s="133">
        <f t="shared" si="24"/>
        <v>0</v>
      </c>
      <c r="W38" s="142">
        <f t="shared" si="25"/>
        <v>0</v>
      </c>
      <c r="X38" s="135">
        <f t="shared" si="26"/>
        <v>0</v>
      </c>
      <c r="AB38" s="156">
        <f ca="1">IF(BQ6&gt;0,BQ8+T19,AB37)</f>
        <v>0</v>
      </c>
      <c r="AC38" s="150"/>
      <c r="AD38" s="150"/>
      <c r="AE38" s="142" t="s">
        <v>1769</v>
      </c>
      <c r="AF38" s="143"/>
      <c r="AG38" s="150"/>
      <c r="AH38" s="150"/>
      <c r="AI38" s="150"/>
      <c r="AJ38" s="135" t="s">
        <v>2834</v>
      </c>
      <c r="AK38" s="135" t="s">
        <v>2794</v>
      </c>
      <c r="AL38" s="151"/>
      <c r="AM38" s="151"/>
      <c r="AN38" s="170">
        <v>9</v>
      </c>
      <c r="AO38" s="170" t="s">
        <v>1549</v>
      </c>
      <c r="AP38" s="170"/>
      <c r="AQ38" s="170"/>
      <c r="AR38" s="170"/>
      <c r="AS38" s="170"/>
      <c r="AT38" s="170"/>
      <c r="AU38" s="170"/>
      <c r="AV38" s="170"/>
      <c r="AW38" s="170"/>
      <c r="AX38" s="165" t="s">
        <v>1664</v>
      </c>
      <c r="AY38" s="135" t="s">
        <v>431</v>
      </c>
      <c r="AZ38" s="206">
        <f>VLOOKUP(AY38,'Tarieven ZIN prestaties'!$B$1:$D$84,2,FALSE)</f>
        <v>115.32</v>
      </c>
      <c r="BA38" s="207"/>
      <c r="BD38" s="181" t="s">
        <v>1223</v>
      </c>
      <c r="BE38" s="209">
        <v>759</v>
      </c>
      <c r="BF38" s="182" t="s">
        <v>1244</v>
      </c>
      <c r="BG38" s="210">
        <f>VLOOKUP(BD38,'PGB tarieven'!$A$7:$M$53,13,FALSE)</f>
        <v>83631</v>
      </c>
      <c r="BH38" s="211">
        <f t="shared" si="5"/>
        <v>1603.882191780822</v>
      </c>
      <c r="BI38" s="193"/>
      <c r="BJ38" s="193"/>
      <c r="BK38" s="212" t="s">
        <v>1205</v>
      </c>
      <c r="BL38" s="175">
        <f>VLOOKUP(BK38,'Ruimte behandeling basis MPT'!$A$2:$H$41,8,FALSE)</f>
        <v>0</v>
      </c>
      <c r="BR38" s="135">
        <v>102</v>
      </c>
      <c r="BS38" s="135" t="s">
        <v>1819</v>
      </c>
      <c r="CA38" s="214"/>
      <c r="CB38" s="214"/>
      <c r="CC38" s="214"/>
      <c r="CD38" s="214"/>
      <c r="CE38" s="214"/>
      <c r="CF38" s="214"/>
      <c r="CG38" s="214"/>
      <c r="CH38" s="214"/>
      <c r="CI38" s="181" t="s">
        <v>1214</v>
      </c>
      <c r="CJ38" s="209" t="s">
        <v>1634</v>
      </c>
      <c r="CK38" s="215" t="s">
        <v>1244</v>
      </c>
      <c r="CL38" s="230" t="s">
        <v>1211</v>
      </c>
      <c r="CM38" s="231">
        <v>844</v>
      </c>
      <c r="CN38" s="232">
        <v>8220</v>
      </c>
      <c r="CO38" s="232">
        <f t="shared" si="8"/>
        <v>158.07692307692307</v>
      </c>
      <c r="CP38" s="232">
        <v>3845</v>
      </c>
      <c r="CQ38" s="232">
        <f t="shared" si="9"/>
        <v>73.942307692307693</v>
      </c>
      <c r="CR38" s="232">
        <v>22788</v>
      </c>
      <c r="CS38" s="232">
        <f t="shared" si="10"/>
        <v>438.23076923076923</v>
      </c>
      <c r="CT38" s="232">
        <v>13721</v>
      </c>
      <c r="CU38" s="232">
        <f t="shared" si="11"/>
        <v>263.86538461538464</v>
      </c>
      <c r="CV38" s="232">
        <v>3357</v>
      </c>
      <c r="CW38" s="232">
        <v>51931</v>
      </c>
      <c r="CX38" s="233">
        <v>48574</v>
      </c>
      <c r="DP38" s="142"/>
      <c r="DQ38" s="142" t="s">
        <v>1769</v>
      </c>
      <c r="DR38" s="142" t="s">
        <v>2677</v>
      </c>
      <c r="DS38" s="142" t="s">
        <v>2690</v>
      </c>
      <c r="DU38" s="181" t="s">
        <v>1266</v>
      </c>
      <c r="DV38" s="182" t="s">
        <v>1148</v>
      </c>
      <c r="DW38" s="135" t="s">
        <v>1598</v>
      </c>
      <c r="DX38" s="200">
        <f t="shared" si="13"/>
        <v>16.25</v>
      </c>
      <c r="DY38" s="135">
        <v>13</v>
      </c>
      <c r="EO38" s="142" t="str">
        <f t="shared" si="27"/>
        <v/>
      </c>
      <c r="EP38" s="135">
        <f t="shared" si="22"/>
        <v>0</v>
      </c>
      <c r="ET38" s="135" t="s">
        <v>2861</v>
      </c>
      <c r="EU38" s="135" t="s">
        <v>2951</v>
      </c>
      <c r="EY38" s="135" t="s">
        <v>2675</v>
      </c>
      <c r="EZ38" s="135" t="s">
        <v>2913</v>
      </c>
      <c r="FA38" s="135" t="s">
        <v>3360</v>
      </c>
      <c r="FB38" s="135" t="str">
        <f t="shared" si="7"/>
        <v>2zgvisOpname</v>
      </c>
      <c r="FC38" s="156">
        <f>VLOOKUP(EZ38,'Tarieven ZZP'!$D$6:$J$134,7,FALSE)</f>
        <v>190.36</v>
      </c>
      <c r="FD38" s="156">
        <f t="shared" si="1"/>
        <v>1332.52</v>
      </c>
      <c r="FI38" s="181" t="s">
        <v>1218</v>
      </c>
      <c r="FJ38" s="135">
        <v>2</v>
      </c>
    </row>
    <row r="39" spans="1:166" ht="21.75" thickBot="1" x14ac:dyDescent="0.4">
      <c r="B39" s="350" t="s">
        <v>3357</v>
      </c>
      <c r="C39" s="351"/>
      <c r="D39" s="351"/>
      <c r="E39" s="351"/>
      <c r="F39" s="351"/>
      <c r="G39" s="351"/>
      <c r="H39" s="351"/>
      <c r="I39" s="354">
        <f>I34</f>
        <v>0</v>
      </c>
      <c r="K39" s="330" t="str">
        <f>K34</f>
        <v xml:space="preserve"> </v>
      </c>
      <c r="L39" s="299"/>
      <c r="M39" s="300"/>
      <c r="N39" s="300"/>
      <c r="O39" s="301"/>
      <c r="P39" s="291"/>
      <c r="Q39" s="291"/>
      <c r="R39" s="291"/>
      <c r="S39" s="291"/>
      <c r="T39" s="264"/>
      <c r="U39" s="262"/>
      <c r="V39" s="133"/>
      <c r="AB39" s="156"/>
      <c r="AC39" s="150"/>
      <c r="AD39" s="150"/>
      <c r="AE39" s="142"/>
      <c r="AF39" s="143"/>
      <c r="AG39" s="150"/>
      <c r="AH39" s="150"/>
      <c r="AI39" s="150"/>
      <c r="AL39" s="151"/>
      <c r="AM39" s="151"/>
      <c r="AN39" s="170"/>
      <c r="AO39" s="170"/>
      <c r="AP39" s="170"/>
      <c r="AQ39" s="170"/>
      <c r="AR39" s="170"/>
      <c r="AS39" s="170"/>
      <c r="AT39" s="170"/>
      <c r="AU39" s="170"/>
      <c r="AV39" s="170"/>
      <c r="AW39" s="170"/>
      <c r="AZ39" s="206"/>
      <c r="BA39" s="207"/>
      <c r="BD39" s="181"/>
      <c r="BE39" s="209"/>
      <c r="BF39" s="182"/>
      <c r="BG39" s="210"/>
      <c r="BH39" s="211"/>
      <c r="BI39" s="193"/>
      <c r="BJ39" s="193"/>
      <c r="BK39" s="212" t="s">
        <v>1206</v>
      </c>
      <c r="BL39" s="175">
        <f>VLOOKUP(BK39,'Ruimte behandeling basis MPT'!$A$2:$H$41,8,FALSE)</f>
        <v>30.345090223212367</v>
      </c>
      <c r="CA39" s="214"/>
      <c r="CB39" s="214"/>
      <c r="CC39" s="214"/>
      <c r="CD39" s="214"/>
      <c r="CE39" s="214"/>
      <c r="CF39" s="214"/>
      <c r="CG39" s="214"/>
      <c r="CH39" s="214"/>
      <c r="CI39" s="181"/>
      <c r="CJ39" s="209"/>
      <c r="CK39" s="215"/>
      <c r="CL39" s="230"/>
      <c r="CM39" s="231"/>
      <c r="CN39" s="232"/>
      <c r="CO39" s="232"/>
      <c r="CP39" s="232"/>
      <c r="CQ39" s="232"/>
      <c r="CR39" s="232"/>
      <c r="CS39" s="232"/>
      <c r="CT39" s="232"/>
      <c r="CU39" s="232"/>
      <c r="CV39" s="232"/>
      <c r="CW39" s="232"/>
      <c r="CX39" s="233"/>
      <c r="DP39" s="142"/>
      <c r="DQ39" s="142"/>
      <c r="DR39" s="142"/>
      <c r="DS39" s="142"/>
      <c r="DU39" s="181"/>
      <c r="DV39" s="182"/>
      <c r="DX39" s="200"/>
      <c r="EO39" s="142" t="str">
        <f t="shared" si="27"/>
        <v/>
      </c>
      <c r="FC39" s="156" t="e">
        <f>VLOOKUP(EZ39,'Tarieven ZZP'!$D$6:$J$134,7,FALSE)</f>
        <v>#N/A</v>
      </c>
      <c r="FD39" s="156"/>
      <c r="FI39" s="181"/>
    </row>
    <row r="40" spans="1:166" ht="21.75" thickBot="1" x14ac:dyDescent="0.4">
      <c r="B40" s="350" t="str">
        <f>IF(M5="extramurale ruimte","EKT:"," ")</f>
        <v>EKT:</v>
      </c>
      <c r="C40" s="351"/>
      <c r="D40" s="473">
        <f>Z32</f>
        <v>0</v>
      </c>
      <c r="E40" s="473"/>
      <c r="F40" s="473"/>
      <c r="G40" s="351"/>
      <c r="H40" s="351"/>
      <c r="I40" s="353">
        <f>IFERROR(VLOOKUP($Q$22,$T$46:$Z$50,6,FALSE),0)</f>
        <v>0</v>
      </c>
      <c r="K40" s="330">
        <f>IFERROR(I40/M6,0)</f>
        <v>0</v>
      </c>
      <c r="L40" s="291"/>
      <c r="M40" s="291"/>
      <c r="N40" s="291"/>
      <c r="O40" s="291"/>
      <c r="P40" s="291"/>
      <c r="Q40" s="291"/>
      <c r="R40" s="291"/>
      <c r="S40" s="291"/>
      <c r="T40" s="264"/>
      <c r="U40" s="262">
        <f>IF($B28="schoonmaak",$AZ$1,IF($B28="Logeren",X40,$V40))</f>
        <v>0</v>
      </c>
      <c r="V40" s="133">
        <f>IFERROR(VLOOKUP(LEFT(D28,4),$AY$7:$AZ$584,2,FALSE)*$H$1+IF($B28="Logeren",VLOOKUP(LEFT(D28,5),$AY$7:$BA$602,3,FALSE),0),0)</f>
        <v>0</v>
      </c>
      <c r="W40" s="135">
        <f>IFERROR(VLOOKUP(D28,$AX$119:$BA$370,3),0)</f>
        <v>0</v>
      </c>
      <c r="X40" s="135">
        <f t="shared" si="26"/>
        <v>0</v>
      </c>
      <c r="AC40" s="150"/>
      <c r="AD40" s="150"/>
      <c r="AE40" s="150"/>
      <c r="AF40" s="150"/>
      <c r="AG40" s="150"/>
      <c r="AH40" s="150"/>
      <c r="AI40" s="150"/>
      <c r="AJ40" s="135" t="s">
        <v>2835</v>
      </c>
      <c r="AK40" s="135" t="s">
        <v>2795</v>
      </c>
      <c r="AL40" s="151"/>
      <c r="AM40" s="151"/>
      <c r="AN40" s="170">
        <v>10</v>
      </c>
      <c r="AO40" s="170" t="s">
        <v>1550</v>
      </c>
      <c r="AP40" s="170"/>
      <c r="AQ40" s="170"/>
      <c r="AR40" s="170"/>
      <c r="AS40" s="170"/>
      <c r="AT40" s="170"/>
      <c r="AU40" s="170"/>
      <c r="AV40" s="170"/>
      <c r="AW40" s="170"/>
      <c r="AX40" s="165" t="s">
        <v>1739</v>
      </c>
      <c r="AY40" s="135" t="s">
        <v>1733</v>
      </c>
      <c r="AZ40" s="206">
        <f>VLOOKUP(AY40,'Tarieven ZIN prestaties'!$B$1:$D$84,2,FALSE)</f>
        <v>157.27000000000001</v>
      </c>
      <c r="BA40" s="207"/>
      <c r="BD40" s="181" t="s">
        <v>1214</v>
      </c>
      <c r="BE40" s="209">
        <v>750</v>
      </c>
      <c r="BF40" s="182" t="s">
        <v>1244</v>
      </c>
      <c r="BG40" s="210">
        <f>VLOOKUP(BD40,'PGB tarieven'!$A$7:$M$53,13,FALSE)</f>
        <v>16003</v>
      </c>
      <c r="BH40" s="211">
        <f t="shared" si="5"/>
        <v>306.90684931506848</v>
      </c>
      <c r="BI40" s="193"/>
      <c r="BJ40" s="193"/>
      <c r="BK40" s="212" t="s">
        <v>1207</v>
      </c>
      <c r="BL40" s="175">
        <f>VLOOKUP(BK40,'Ruimte behandeling basis MPT'!$A$2:$H$41,8,FALSE)</f>
        <v>43.999528961425085</v>
      </c>
      <c r="BR40" s="135">
        <v>103</v>
      </c>
      <c r="BS40" s="135" t="s">
        <v>1819</v>
      </c>
      <c r="CA40" s="214"/>
      <c r="CB40" s="214"/>
      <c r="CC40" s="214"/>
      <c r="CD40" s="214"/>
      <c r="CE40" s="214"/>
      <c r="CF40" s="214"/>
      <c r="CG40" s="214"/>
      <c r="CH40" s="214"/>
      <c r="CI40" s="181" t="s">
        <v>1215</v>
      </c>
      <c r="CJ40" s="209" t="s">
        <v>1634</v>
      </c>
      <c r="CK40" s="215" t="s">
        <v>1244</v>
      </c>
      <c r="CL40" s="235" t="s">
        <v>1212</v>
      </c>
      <c r="CM40" s="236">
        <v>846</v>
      </c>
      <c r="CN40" s="237">
        <v>21667</v>
      </c>
      <c r="CO40" s="232">
        <f t="shared" si="8"/>
        <v>416.67307692307691</v>
      </c>
      <c r="CP40" s="237">
        <v>3845</v>
      </c>
      <c r="CQ40" s="232">
        <f t="shared" si="9"/>
        <v>73.942307692307693</v>
      </c>
      <c r="CR40" s="237">
        <v>22788</v>
      </c>
      <c r="CS40" s="232">
        <f t="shared" si="10"/>
        <v>438.23076923076923</v>
      </c>
      <c r="CT40" s="237">
        <v>18622</v>
      </c>
      <c r="CU40" s="232">
        <f t="shared" si="11"/>
        <v>358.11538461538464</v>
      </c>
      <c r="CV40" s="237">
        <v>3357</v>
      </c>
      <c r="CW40" s="237">
        <v>70279</v>
      </c>
      <c r="CX40" s="233">
        <v>66922</v>
      </c>
      <c r="DR40" s="142" t="s">
        <v>2678</v>
      </c>
      <c r="DS40" s="142" t="s">
        <v>2690</v>
      </c>
      <c r="DU40" s="181" t="s">
        <v>1267</v>
      </c>
      <c r="DV40" s="182" t="s">
        <v>1148</v>
      </c>
      <c r="DW40" s="135" t="s">
        <v>1598</v>
      </c>
      <c r="DX40" s="200">
        <f t="shared" si="13"/>
        <v>19.375</v>
      </c>
      <c r="DY40" s="135">
        <v>15.5</v>
      </c>
      <c r="EO40" s="142"/>
      <c r="EP40" s="135">
        <f>IF(OR(B29="verblijfsprestatie",B29="vptprestatie"),1,0)</f>
        <v>0</v>
      </c>
      <c r="ET40" s="135" t="s">
        <v>2844</v>
      </c>
      <c r="EU40" s="135" t="s">
        <v>2780</v>
      </c>
      <c r="EY40" s="135" t="s">
        <v>2676</v>
      </c>
      <c r="EZ40" s="135" t="s">
        <v>2923</v>
      </c>
      <c r="FA40" s="135" t="s">
        <v>3360</v>
      </c>
      <c r="FB40" s="135" t="str">
        <f t="shared" si="7"/>
        <v>3zgvisOpname</v>
      </c>
      <c r="FC40" s="156">
        <f>VLOOKUP(EZ40,'Tarieven ZZP'!$D$6:$J$134,7,FALSE)</f>
        <v>240.9</v>
      </c>
      <c r="FD40" s="156">
        <f t="shared" si="1"/>
        <v>1686.3</v>
      </c>
      <c r="FI40" s="181" t="s">
        <v>1219</v>
      </c>
      <c r="FJ40" s="135">
        <v>2</v>
      </c>
    </row>
    <row r="41" spans="1:166" ht="21.75" thickBot="1" x14ac:dyDescent="0.4">
      <c r="B41" s="350" t="s">
        <v>3353</v>
      </c>
      <c r="C41" s="351"/>
      <c r="D41" s="355"/>
      <c r="E41" s="355"/>
      <c r="F41" s="355"/>
      <c r="G41" s="351"/>
      <c r="H41" s="351"/>
      <c r="I41" s="353">
        <f ca="1">IFERROR(IF(H74=8,0,(IF(AND(I33&gt;0,I33&gt;M15),M15,N67))),0)</f>
        <v>0</v>
      </c>
      <c r="K41" s="330">
        <f ca="1">IFERROR(I41/M6,0)</f>
        <v>0</v>
      </c>
      <c r="L41" s="474" t="s">
        <v>2757</v>
      </c>
      <c r="M41" s="474"/>
      <c r="N41" s="331">
        <f ca="1">D46/7</f>
        <v>0</v>
      </c>
      <c r="O41" s="291"/>
      <c r="P41" s="291"/>
      <c r="Q41" s="291"/>
      <c r="R41" s="291"/>
      <c r="S41" s="291"/>
      <c r="T41" s="264"/>
      <c r="U41" s="262">
        <f>IF($B29="schoonmaak",$AZ$1,IF($B29="Logeren",X41,$V41))</f>
        <v>0</v>
      </c>
      <c r="V41" s="133">
        <f>IFERROR(VLOOKUP(LEFT(D29,4),$AY$7:$AZ$584,2,FALSE)*$H$1+IF($B29="Logeren",VLOOKUP(LEFT(D29,5),$AY$7:$BA$602,3,FALSE),0),0)</f>
        <v>0</v>
      </c>
      <c r="W41" s="135">
        <f>IFERROR(VLOOKUP(D29,$AX$119:$BA$370,3),0)</f>
        <v>0</v>
      </c>
      <c r="X41" s="135">
        <f t="shared" si="26"/>
        <v>0</v>
      </c>
      <c r="AC41" s="150"/>
      <c r="AD41" s="150"/>
      <c r="AE41" s="150"/>
      <c r="AF41" s="150"/>
      <c r="AG41" s="150"/>
      <c r="AH41" s="150"/>
      <c r="AI41" s="150"/>
      <c r="AJ41" s="135" t="s">
        <v>2836</v>
      </c>
      <c r="AK41" s="135" t="s">
        <v>2798</v>
      </c>
      <c r="AL41" s="151"/>
      <c r="AM41" s="151"/>
      <c r="AN41" s="170">
        <v>11</v>
      </c>
      <c r="AO41" s="170" t="s">
        <v>1550</v>
      </c>
      <c r="AP41" s="170"/>
      <c r="AQ41" s="170"/>
      <c r="AR41" s="170"/>
      <c r="AS41" s="170"/>
      <c r="AT41" s="170"/>
      <c r="AU41" s="170"/>
      <c r="AV41" s="170"/>
      <c r="AW41" s="170"/>
      <c r="AX41" s="165" t="s">
        <v>1740</v>
      </c>
      <c r="AY41" s="135" t="s">
        <v>1734</v>
      </c>
      <c r="AZ41" s="206">
        <f>VLOOKUP(AY41,'Tarieven ZIN prestaties'!$B$1:$D$84,2,FALSE)</f>
        <v>157.27000000000001</v>
      </c>
      <c r="BA41" s="207"/>
      <c r="BD41" s="181" t="s">
        <v>1215</v>
      </c>
      <c r="BE41" s="209">
        <v>751</v>
      </c>
      <c r="BF41" s="182" t="s">
        <v>1244</v>
      </c>
      <c r="BG41" s="210">
        <f>VLOOKUP(BD41,'PGB tarieven'!$A$7:$M$53,13,FALSE)</f>
        <v>23205</v>
      </c>
      <c r="BH41" s="211">
        <f t="shared" si="5"/>
        <v>445.02739726027397</v>
      </c>
      <c r="BI41" s="193"/>
      <c r="BJ41" s="193"/>
      <c r="BK41" s="212" t="s">
        <v>1208</v>
      </c>
      <c r="BL41" s="175">
        <f>VLOOKUP(BK41,'Ruimte behandeling basis MPT'!$A$2:$H$41,8,FALSE)</f>
        <v>163.24000000000015</v>
      </c>
      <c r="BR41" s="135">
        <v>104</v>
      </c>
      <c r="BS41" s="135" t="s">
        <v>1819</v>
      </c>
      <c r="CA41" s="214"/>
      <c r="CB41" s="214"/>
      <c r="CC41" s="214"/>
      <c r="CD41" s="214"/>
      <c r="CE41" s="214"/>
      <c r="CF41" s="214"/>
      <c r="CG41" s="214"/>
      <c r="CH41" s="214"/>
      <c r="CI41" s="181" t="s">
        <v>1216</v>
      </c>
      <c r="CJ41" s="209" t="s">
        <v>1634</v>
      </c>
      <c r="CK41" s="215" t="s">
        <v>1244</v>
      </c>
      <c r="CL41" s="230" t="s">
        <v>1213</v>
      </c>
      <c r="CM41" s="231">
        <v>848</v>
      </c>
      <c r="CN41" s="232">
        <v>21667</v>
      </c>
      <c r="CO41" s="232">
        <f t="shared" si="8"/>
        <v>416.67307692307691</v>
      </c>
      <c r="CP41" s="232">
        <v>3845</v>
      </c>
      <c r="CQ41" s="232">
        <f t="shared" si="9"/>
        <v>73.942307692307693</v>
      </c>
      <c r="CR41" s="232">
        <v>28748</v>
      </c>
      <c r="CS41" s="232">
        <f t="shared" si="10"/>
        <v>552.84615384615381</v>
      </c>
      <c r="CT41" s="232">
        <v>18622</v>
      </c>
      <c r="CU41" s="232">
        <f t="shared" si="11"/>
        <v>358.11538461538464</v>
      </c>
      <c r="CV41" s="232">
        <v>3357</v>
      </c>
      <c r="CW41" s="232">
        <v>76239</v>
      </c>
      <c r="CX41" s="233">
        <v>72882</v>
      </c>
      <c r="DR41" s="142" t="s">
        <v>2679</v>
      </c>
      <c r="DS41" s="142" t="s">
        <v>2688</v>
      </c>
      <c r="DU41" s="181" t="s">
        <v>1268</v>
      </c>
      <c r="DV41" s="182" t="s">
        <v>1148</v>
      </c>
      <c r="DW41" s="135" t="s">
        <v>1598</v>
      </c>
      <c r="DX41" s="200">
        <f t="shared" si="13"/>
        <v>20</v>
      </c>
      <c r="DY41" s="135">
        <v>16</v>
      </c>
      <c r="EO41" s="142" t="str">
        <f>CONCATENATE($F$5,$G$8,B27)</f>
        <v/>
      </c>
      <c r="EP41" s="135">
        <f>IF(OR(B30="verblijfsprestatie",B30="vptprestatie"),1,0)</f>
        <v>0</v>
      </c>
      <c r="ET41" s="135" t="s">
        <v>2850</v>
      </c>
      <c r="EU41" s="135" t="s">
        <v>2940</v>
      </c>
      <c r="EY41" s="135" t="s">
        <v>2677</v>
      </c>
      <c r="EZ41" s="135" t="s">
        <v>2924</v>
      </c>
      <c r="FA41" s="135" t="s">
        <v>3360</v>
      </c>
      <c r="FB41" s="135" t="str">
        <f t="shared" si="7"/>
        <v>4zgvisOpname</v>
      </c>
      <c r="FC41" s="156">
        <f>VLOOKUP(EZ41,'Tarieven ZZP'!$D$6:$J$134,7,FALSE)</f>
        <v>302.12</v>
      </c>
      <c r="FD41" s="156">
        <f t="shared" si="1"/>
        <v>2114.84</v>
      </c>
      <c r="FI41" s="181" t="s">
        <v>1220</v>
      </c>
      <c r="FJ41" s="135">
        <v>2</v>
      </c>
    </row>
    <row r="42" spans="1:166" ht="21.75" thickBot="1" x14ac:dyDescent="0.4">
      <c r="B42" s="350" t="s">
        <v>1811</v>
      </c>
      <c r="C42" s="351"/>
      <c r="D42" s="473">
        <f>IF(M5="extramurale ruimte",Z35," ")</f>
        <v>0</v>
      </c>
      <c r="E42" s="473"/>
      <c r="F42" s="473"/>
      <c r="G42" s="351"/>
      <c r="H42" s="351"/>
      <c r="I42" s="353">
        <f ca="1">IF(SUM(I38:I41)-I35=0,0,R46)</f>
        <v>0</v>
      </c>
      <c r="K42" s="330">
        <f ca="1">IFERROR(I42/M6,0)</f>
        <v>0</v>
      </c>
      <c r="L42" s="474" t="s">
        <v>3520</v>
      </c>
      <c r="M42" s="474"/>
      <c r="N42" s="331">
        <f ca="1">N41*7</f>
        <v>0</v>
      </c>
      <c r="O42" s="291"/>
      <c r="P42" s="291"/>
      <c r="Q42" s="291"/>
      <c r="R42" s="291"/>
      <c r="S42" s="291"/>
      <c r="T42" s="264"/>
      <c r="U42" s="262">
        <f>IF($B30="schoonmaak",$AZ$1,IF($B30="Logeren",X42,$V42))</f>
        <v>0</v>
      </c>
      <c r="V42" s="133">
        <f>IFERROR(VLOOKUP(LEFT(D30,4),$AY$7:$AZ$584,2,FALSE)*$H$1+IF($B30="Logeren",VLOOKUP(LEFT(D30,5),$AY$7:$BA$602,3,FALSE),0),0)</f>
        <v>0</v>
      </c>
      <c r="W42" s="135">
        <f>IFERROR(VLOOKUP(D30,$AX$119:$BA$370,3),0)</f>
        <v>0</v>
      </c>
      <c r="X42" s="135">
        <f t="shared" si="26"/>
        <v>0</v>
      </c>
      <c r="AC42" s="150"/>
      <c r="AD42" s="150"/>
      <c r="AE42" s="150"/>
      <c r="AF42" s="150"/>
      <c r="AG42" s="150"/>
      <c r="AH42" s="150"/>
      <c r="AI42" s="150"/>
      <c r="AJ42" s="135" t="s">
        <v>2837</v>
      </c>
      <c r="AK42" s="135" t="s">
        <v>2797</v>
      </c>
      <c r="AL42" s="151"/>
      <c r="AM42" s="151"/>
      <c r="AN42" s="170">
        <v>12</v>
      </c>
      <c r="AO42" s="170" t="s">
        <v>1550</v>
      </c>
      <c r="AP42" s="170"/>
      <c r="AQ42" s="170"/>
      <c r="AR42" s="170"/>
      <c r="AS42" s="170"/>
      <c r="AT42" s="170"/>
      <c r="AU42" s="170"/>
      <c r="AV42" s="170"/>
      <c r="AW42" s="170"/>
      <c r="AX42" s="265" t="s">
        <v>2646</v>
      </c>
      <c r="AY42" s="193" t="s">
        <v>1847</v>
      </c>
      <c r="AZ42" s="206">
        <f>VLOOKUP(AY42,'Tarieven ZIN prestaties'!$B$1:$D$84,2,FALSE)</f>
        <v>23.99</v>
      </c>
      <c r="BA42" s="207"/>
      <c r="BD42" s="181" t="s">
        <v>1216</v>
      </c>
      <c r="BE42" s="209">
        <v>752</v>
      </c>
      <c r="BF42" s="182" t="s">
        <v>1244</v>
      </c>
      <c r="BG42" s="210">
        <f>VLOOKUP(BD42,'PGB tarieven'!$A$7:$M$53,13,FALSE)</f>
        <v>28247</v>
      </c>
      <c r="BH42" s="211">
        <f t="shared" ref="BH42:BH54" si="29">BG42/365*7</f>
        <v>541.72328767123281</v>
      </c>
      <c r="BI42" s="193"/>
      <c r="BJ42" s="193"/>
      <c r="BK42" s="212" t="s">
        <v>1209</v>
      </c>
      <c r="BL42" s="175">
        <f>VLOOKUP(BK42,'Ruimte behandeling basis MPT'!$A$2:$H$41,8,FALSE)</f>
        <v>0</v>
      </c>
      <c r="BR42" s="135">
        <v>105</v>
      </c>
      <c r="BS42" s="135" t="s">
        <v>1819</v>
      </c>
      <c r="CA42" s="214"/>
      <c r="CB42" s="214"/>
      <c r="CC42" s="214"/>
      <c r="CD42" s="214"/>
      <c r="CE42" s="214"/>
      <c r="CF42" s="214"/>
      <c r="CG42" s="214"/>
      <c r="CH42" s="214"/>
      <c r="CI42" s="181" t="s">
        <v>1217</v>
      </c>
      <c r="CJ42" s="209" t="s">
        <v>1634</v>
      </c>
      <c r="CK42" s="215" t="s">
        <v>1244</v>
      </c>
      <c r="CL42" s="235" t="s">
        <v>1205</v>
      </c>
      <c r="CM42" s="236">
        <v>850</v>
      </c>
      <c r="CN42" s="237">
        <v>1497</v>
      </c>
      <c r="CO42" s="232">
        <f t="shared" si="8"/>
        <v>28.78846153846154</v>
      </c>
      <c r="CP42" s="236">
        <v>0</v>
      </c>
      <c r="CQ42" s="232">
        <f t="shared" si="9"/>
        <v>0</v>
      </c>
      <c r="CR42" s="237">
        <v>22788</v>
      </c>
      <c r="CS42" s="232">
        <f t="shared" si="10"/>
        <v>438.23076923076923</v>
      </c>
      <c r="CT42" s="237">
        <v>21072</v>
      </c>
      <c r="CU42" s="232">
        <f t="shared" si="11"/>
        <v>405.23076923076923</v>
      </c>
      <c r="CV42" s="237">
        <v>3357</v>
      </c>
      <c r="CW42" s="237">
        <v>48714</v>
      </c>
      <c r="CX42" s="233">
        <v>45357</v>
      </c>
      <c r="DR42" s="142" t="s">
        <v>2687</v>
      </c>
      <c r="DS42" s="142" t="s">
        <v>2689</v>
      </c>
      <c r="DU42" s="181" t="s">
        <v>1269</v>
      </c>
      <c r="DV42" s="182" t="s">
        <v>1148</v>
      </c>
      <c r="DW42" s="135" t="s">
        <v>1598</v>
      </c>
      <c r="DX42" s="200">
        <f t="shared" si="13"/>
        <v>28.75</v>
      </c>
      <c r="DY42" s="135">
        <v>23</v>
      </c>
      <c r="EO42" s="142" t="str">
        <f>CONCATENATE($F$5,$G$8,B28)</f>
        <v/>
      </c>
      <c r="EP42" s="135">
        <f>IF(OR(B31="verblijfsprestatie",B31="vptprestatie"),1,0)</f>
        <v>0</v>
      </c>
      <c r="ET42" s="135" t="s">
        <v>2856</v>
      </c>
      <c r="EU42" s="135" t="s">
        <v>2946</v>
      </c>
      <c r="EY42" s="135" t="s">
        <v>2678</v>
      </c>
      <c r="EZ42" s="135" t="s">
        <v>2925</v>
      </c>
      <c r="FA42" s="135" t="s">
        <v>3360</v>
      </c>
      <c r="FB42" s="135" t="str">
        <f t="shared" si="7"/>
        <v>5zgvisOpname</v>
      </c>
      <c r="FC42" s="156">
        <f>VLOOKUP(EZ42,'Tarieven ZZP'!$D$6:$J$134,7,FALSE)</f>
        <v>331.67</v>
      </c>
      <c r="FD42" s="156">
        <f t="shared" si="1"/>
        <v>2321.69</v>
      </c>
      <c r="FI42" s="181" t="s">
        <v>1221</v>
      </c>
      <c r="FJ42" s="135">
        <v>2</v>
      </c>
    </row>
    <row r="43" spans="1:166" ht="21.75" thickBot="1" x14ac:dyDescent="0.4">
      <c r="A43" s="294"/>
      <c r="B43" s="350" t="str">
        <f ca="1">E113</f>
        <v>Overschrijding</v>
      </c>
      <c r="C43" s="351"/>
      <c r="D43" s="351"/>
      <c r="E43" s="351"/>
      <c r="F43" s="351"/>
      <c r="G43" s="351"/>
      <c r="H43" s="351"/>
      <c r="I43" s="353">
        <f ca="1">IF(SUM(I38:I42)-I35=0,0,E114)</f>
        <v>0</v>
      </c>
      <c r="K43" s="330">
        <f ca="1">IFERROR(I43/M6,0)</f>
        <v>0</v>
      </c>
      <c r="L43" s="291"/>
      <c r="M43" s="291"/>
      <c r="N43" s="291"/>
      <c r="O43" s="291"/>
      <c r="P43" s="291"/>
      <c r="Q43" s="291"/>
      <c r="R43" s="291"/>
      <c r="S43" s="291"/>
      <c r="T43" s="264"/>
      <c r="U43" s="262">
        <f>IF($B31="schoonmaak",$AZ$1,IF($B31="Logeren",X43,$V43))</f>
        <v>0</v>
      </c>
      <c r="V43" s="133">
        <f>IFERROR(VLOOKUP(LEFT(D31,4),$AY$7:$AZ$584,2,FALSE)*$H$1+IF($B31="Logeren",VLOOKUP(LEFT(D31,5),$AY$7:$BA$602,3,FALSE),0),0)</f>
        <v>0</v>
      </c>
      <c r="W43" s="135">
        <f>IFERROR(VLOOKUP(D31,$AX$119:$BA$370,3),0)</f>
        <v>0</v>
      </c>
      <c r="X43" s="135">
        <f t="shared" si="26"/>
        <v>0</v>
      </c>
      <c r="AC43" s="150"/>
      <c r="AD43" s="150"/>
      <c r="AE43" s="150"/>
      <c r="AF43" s="150"/>
      <c r="AG43" s="150"/>
      <c r="AH43" s="150"/>
      <c r="AI43" s="150"/>
      <c r="AJ43" s="135" t="s">
        <v>2838</v>
      </c>
      <c r="AK43" s="135" t="s">
        <v>2796</v>
      </c>
      <c r="AL43" s="151"/>
      <c r="AM43" s="151"/>
      <c r="AN43" s="170">
        <v>13</v>
      </c>
      <c r="AO43" s="170" t="s">
        <v>1551</v>
      </c>
      <c r="AP43" s="170"/>
      <c r="AQ43" s="170"/>
      <c r="AR43" s="170"/>
      <c r="AS43" s="170"/>
      <c r="AT43" s="170"/>
      <c r="AU43" s="170"/>
      <c r="AV43" s="170"/>
      <c r="AW43" s="170"/>
      <c r="AX43" s="165" t="s">
        <v>1741</v>
      </c>
      <c r="AY43" s="135" t="s">
        <v>7</v>
      </c>
      <c r="AZ43" s="206">
        <f>VLOOKUP(AY43,'Tarieven ZIN prestaties'!$B$1:$D$84,2,FALSE)</f>
        <v>39.4</v>
      </c>
      <c r="BA43" s="207"/>
      <c r="BD43" s="181" t="s">
        <v>1217</v>
      </c>
      <c r="BE43" s="209">
        <v>753</v>
      </c>
      <c r="BF43" s="182" t="s">
        <v>1244</v>
      </c>
      <c r="BG43" s="210">
        <f>VLOOKUP(BD43,'PGB tarieven'!$A$7:$M$53,13,FALSE)</f>
        <v>37848</v>
      </c>
      <c r="BH43" s="211">
        <f t="shared" si="29"/>
        <v>725.85205479452054</v>
      </c>
      <c r="BI43" s="193"/>
      <c r="BJ43" s="193"/>
      <c r="BK43" s="212" t="s">
        <v>1210</v>
      </c>
      <c r="BL43" s="175">
        <f>VLOOKUP(BK43,'Ruimte behandeling basis MPT'!$A$2:$H$41,8,FALSE)</f>
        <v>0</v>
      </c>
      <c r="BR43" s="135">
        <v>106</v>
      </c>
      <c r="BS43" s="135" t="s">
        <v>1819</v>
      </c>
      <c r="CA43" s="214"/>
      <c r="CB43" s="214"/>
      <c r="CC43" s="214"/>
      <c r="CD43" s="214"/>
      <c r="CE43" s="214"/>
      <c r="CF43" s="214"/>
      <c r="CG43" s="214"/>
      <c r="CH43" s="214"/>
      <c r="CI43" s="181" t="s">
        <v>1218</v>
      </c>
      <c r="CJ43" s="209" t="s">
        <v>1634</v>
      </c>
      <c r="CK43" s="215" t="s">
        <v>1244</v>
      </c>
      <c r="CL43" s="230" t="s">
        <v>1206</v>
      </c>
      <c r="CM43" s="231">
        <v>852</v>
      </c>
      <c r="CN43" s="232">
        <v>17176</v>
      </c>
      <c r="CO43" s="232">
        <f t="shared" si="8"/>
        <v>330.30769230769232</v>
      </c>
      <c r="CP43" s="232">
        <v>7690</v>
      </c>
      <c r="CQ43" s="232">
        <f t="shared" si="9"/>
        <v>147.88461538461539</v>
      </c>
      <c r="CR43" s="232">
        <v>35682</v>
      </c>
      <c r="CS43" s="232">
        <f t="shared" si="10"/>
        <v>686.19230769230774</v>
      </c>
      <c r="CT43" s="266">
        <v>23523</v>
      </c>
      <c r="CU43" s="232">
        <f t="shared" si="11"/>
        <v>452.36538461538464</v>
      </c>
      <c r="CV43" s="267">
        <v>3357</v>
      </c>
      <c r="CW43" s="232">
        <v>87428</v>
      </c>
      <c r="CX43" s="233">
        <v>84071</v>
      </c>
      <c r="DR43" s="142" t="s">
        <v>2680</v>
      </c>
      <c r="DS43" s="142" t="s">
        <v>2690</v>
      </c>
      <c r="DU43" s="181" t="s">
        <v>1270</v>
      </c>
      <c r="DV43" s="182" t="s">
        <v>1148</v>
      </c>
      <c r="DW43" s="135" t="s">
        <v>1598</v>
      </c>
      <c r="DX43" s="200">
        <f t="shared" si="13"/>
        <v>33.125</v>
      </c>
      <c r="DY43" s="135">
        <v>26.5</v>
      </c>
      <c r="EO43" s="142" t="str">
        <f>CONCATENATE($F$5,$G$8,B29)</f>
        <v/>
      </c>
      <c r="ET43" s="135" t="s">
        <v>2862</v>
      </c>
      <c r="EU43" s="135" t="s">
        <v>2952</v>
      </c>
      <c r="EY43" s="135" t="s">
        <v>2656</v>
      </c>
      <c r="EZ43" s="135" t="s">
        <v>2764</v>
      </c>
      <c r="FA43" s="135" t="s">
        <v>47</v>
      </c>
      <c r="FB43" s="135" t="str">
        <f t="shared" si="7"/>
        <v>1vvVPT</v>
      </c>
      <c r="FC43" s="156">
        <f>VLOOKUP(EZ43,'Tarieven VPT'!$D$6:$I$113,6,FALSE)</f>
        <v>70.866497876749449</v>
      </c>
      <c r="FD43" s="156">
        <f t="shared" ref="FD43:FD81" si="30">FC43*7</f>
        <v>496.06548513724613</v>
      </c>
      <c r="FI43" s="181" t="s">
        <v>1596</v>
      </c>
      <c r="FJ43" s="135">
        <v>2</v>
      </c>
    </row>
    <row r="44" spans="1:166" ht="21.75" hidden="1" thickBot="1" x14ac:dyDescent="0.4">
      <c r="B44" s="290"/>
      <c r="D44" s="292">
        <f ca="1">IFERROR(IF($B$43="restant",$G$44,$E$45-$I$56-$I$40-$I$42),0)</f>
        <v>0</v>
      </c>
      <c r="G44" s="292">
        <f ca="1">IF(I33=0,I45,I44)-I39</f>
        <v>0</v>
      </c>
      <c r="I44" s="292">
        <f ca="1">I45+IF(M44&lt;0,0,M44)</f>
        <v>0</v>
      </c>
      <c r="L44" s="26"/>
      <c r="M44" s="42">
        <f ca="1">T19-I33</f>
        <v>0</v>
      </c>
      <c r="N44" s="61" t="e">
        <f ca="1">IF(SUM($I$32:$I$33)-($BQ$11+IF($I$33&gt;0,$T$19,0))&lt;=0,SUM($I$32:$I$33),$BQ$11+IF($I$33&gt;0,$T$19,0))</f>
        <v>#N/A</v>
      </c>
      <c r="O44" s="42" t="e">
        <f ca="1">SUM(M44:N44)</f>
        <v>#N/A</v>
      </c>
      <c r="P44" s="26"/>
      <c r="Q44" s="26"/>
      <c r="R44" s="26"/>
      <c r="S44" s="26"/>
      <c r="AC44" s="150"/>
      <c r="AD44" s="150"/>
      <c r="AE44" s="150"/>
      <c r="AF44" s="150"/>
      <c r="AG44" s="150"/>
      <c r="AH44" s="150"/>
      <c r="AI44" s="150"/>
      <c r="AJ44" s="135" t="s">
        <v>2839</v>
      </c>
      <c r="AK44" s="135" t="s">
        <v>2799</v>
      </c>
      <c r="AL44" s="151"/>
      <c r="AM44" s="151"/>
      <c r="AN44" s="170">
        <v>14</v>
      </c>
      <c r="AO44" s="170" t="s">
        <v>1551</v>
      </c>
      <c r="AP44" s="170"/>
      <c r="AQ44" s="170"/>
      <c r="AR44" s="170"/>
      <c r="AS44" s="170"/>
      <c r="AT44" s="170"/>
      <c r="AU44" s="170"/>
      <c r="AV44" s="170"/>
      <c r="AW44" s="170"/>
      <c r="AX44" s="165" t="s">
        <v>1742</v>
      </c>
      <c r="AY44" s="135" t="s">
        <v>490</v>
      </c>
      <c r="AZ44" s="206">
        <f>VLOOKUP(AY44,'Tarieven ZIN prestaties'!$B$1:$D$84,2,FALSE)</f>
        <v>56.5</v>
      </c>
      <c r="BA44" s="207"/>
      <c r="BD44" s="181" t="s">
        <v>1218</v>
      </c>
      <c r="BE44" s="209">
        <v>754</v>
      </c>
      <c r="BF44" s="182" t="s">
        <v>1244</v>
      </c>
      <c r="BG44" s="210">
        <f>VLOOKUP(BD44,'PGB tarieven'!$A$7:$M$53,13,FALSE)</f>
        <v>51351</v>
      </c>
      <c r="BH44" s="211">
        <f t="shared" si="29"/>
        <v>984.81369863013697</v>
      </c>
      <c r="BI44" s="193"/>
      <c r="BJ44" s="193"/>
      <c r="BK44" s="212" t="s">
        <v>1211</v>
      </c>
      <c r="BL44" s="175">
        <f>VLOOKUP(BK44,'Ruimte behandeling basis MPT'!$A$2:$H$41,8,FALSE)</f>
        <v>97.859999999999928</v>
      </c>
      <c r="BR44" s="135">
        <v>107</v>
      </c>
      <c r="BS44" s="135" t="s">
        <v>1819</v>
      </c>
      <c r="CA44" s="214"/>
      <c r="CB44" s="214"/>
      <c r="CC44" s="214"/>
      <c r="CD44" s="214"/>
      <c r="CE44" s="214"/>
      <c r="CF44" s="214"/>
      <c r="CG44" s="214"/>
      <c r="CH44" s="214"/>
      <c r="CI44" s="181" t="s">
        <v>1219</v>
      </c>
      <c r="CJ44" s="209" t="s">
        <v>1634</v>
      </c>
      <c r="CK44" s="215" t="s">
        <v>1244</v>
      </c>
      <c r="CL44" s="235" t="s">
        <v>1207</v>
      </c>
      <c r="CM44" s="236">
        <v>854</v>
      </c>
      <c r="CN44" s="237">
        <v>26894</v>
      </c>
      <c r="CO44" s="232">
        <f t="shared" si="8"/>
        <v>517.19230769230774</v>
      </c>
      <c r="CP44" s="237">
        <v>14099</v>
      </c>
      <c r="CQ44" s="232">
        <f t="shared" si="9"/>
        <v>271.13461538461536</v>
      </c>
      <c r="CR44" s="237">
        <v>35682</v>
      </c>
      <c r="CS44" s="232">
        <f t="shared" si="10"/>
        <v>686.19230769230774</v>
      </c>
      <c r="CT44" s="237">
        <v>23523</v>
      </c>
      <c r="CU44" s="232">
        <f t="shared" si="11"/>
        <v>452.36538461538464</v>
      </c>
      <c r="CV44" s="237">
        <v>3357</v>
      </c>
      <c r="CW44" s="237">
        <v>103555</v>
      </c>
      <c r="CX44" s="233">
        <v>100198</v>
      </c>
      <c r="DR44" s="142" t="s">
        <v>2681</v>
      </c>
      <c r="DS44" s="142" t="s">
        <v>2688</v>
      </c>
      <c r="DU44" s="181" t="s">
        <v>1230</v>
      </c>
      <c r="DV44" s="182" t="s">
        <v>1148</v>
      </c>
      <c r="DW44" s="135" t="s">
        <v>1598</v>
      </c>
      <c r="DX44" s="200">
        <f t="shared" si="13"/>
        <v>8.125</v>
      </c>
      <c r="DY44" s="135">
        <v>6.5</v>
      </c>
      <c r="EO44" s="142" t="str">
        <f>CONCATENATE($F$5,$G$8,B30)</f>
        <v/>
      </c>
      <c r="ET44" s="135" t="s">
        <v>2845</v>
      </c>
      <c r="EU44" s="135" t="s">
        <v>2781</v>
      </c>
      <c r="EY44" s="135" t="s">
        <v>2658</v>
      </c>
      <c r="EZ44" s="135" t="s">
        <v>2765</v>
      </c>
      <c r="FA44" s="135" t="s">
        <v>47</v>
      </c>
      <c r="FB44" s="135" t="str">
        <f t="shared" si="7"/>
        <v>2vvVPT</v>
      </c>
      <c r="FC44" s="156">
        <f>VLOOKUP(EZ44,'Tarieven VPT'!$D$6:$I$113,6,FALSE)</f>
        <v>93.847296149839138</v>
      </c>
      <c r="FD44" s="156">
        <f t="shared" si="30"/>
        <v>656.93107304887394</v>
      </c>
      <c r="FI44" s="181" t="s">
        <v>1238</v>
      </c>
      <c r="FJ44" s="135">
        <v>2</v>
      </c>
    </row>
    <row r="45" spans="1:166" ht="21.75" hidden="1" thickBot="1" x14ac:dyDescent="0.4">
      <c r="B45" s="290"/>
      <c r="E45" s="292">
        <f ca="1">I35</f>
        <v>0</v>
      </c>
      <c r="I45" s="292">
        <f ca="1">IF(AND(G53=1,I33=0),M6-E45,IF(AND(G53=1,I33&gt;0),M6-E45-G46,T1-E45))</f>
        <v>0</v>
      </c>
      <c r="L45" s="42"/>
      <c r="M45" s="26"/>
      <c r="N45" s="26"/>
      <c r="O45" s="26"/>
      <c r="P45" s="26"/>
      <c r="Q45" s="26">
        <f>IF(D42=0,1,0)</f>
        <v>1</v>
      </c>
      <c r="R45" s="42">
        <f ca="1">I35-I40-I41</f>
        <v>0</v>
      </c>
      <c r="S45" s="26"/>
      <c r="AB45" s="156">
        <f>IF(BM12=0,0,IF(BM12&lt;0,0,SUM($I$32:$I$33)-$I$38))</f>
        <v>0</v>
      </c>
      <c r="AC45" s="150"/>
      <c r="AD45" s="150"/>
      <c r="AE45" s="150"/>
      <c r="AF45" s="150"/>
      <c r="AG45" s="150"/>
      <c r="AH45" s="150"/>
      <c r="AI45" s="150"/>
      <c r="AJ45" s="135" t="s">
        <v>2840</v>
      </c>
      <c r="AK45" s="135" t="s">
        <v>2800</v>
      </c>
      <c r="AL45" s="151"/>
      <c r="AM45" s="151"/>
      <c r="AN45" s="170">
        <v>15</v>
      </c>
      <c r="AO45" s="170" t="s">
        <v>1551</v>
      </c>
      <c r="AP45" s="170"/>
      <c r="AQ45" s="170"/>
      <c r="AR45" s="170"/>
      <c r="AS45" s="170"/>
      <c r="AT45" s="170"/>
      <c r="AU45" s="170"/>
      <c r="AV45" s="170"/>
      <c r="AW45" s="170"/>
      <c r="AX45" s="165" t="s">
        <v>1743</v>
      </c>
      <c r="AY45" s="135" t="s">
        <v>520</v>
      </c>
      <c r="AZ45" s="206">
        <f>VLOOKUP(AY45,'Tarieven ZIN prestaties'!$B$1:$D$84,2,FALSE)</f>
        <v>54.56</v>
      </c>
      <c r="BA45" s="207"/>
      <c r="BD45" s="181" t="s">
        <v>1219</v>
      </c>
      <c r="BE45" s="209">
        <v>755</v>
      </c>
      <c r="BF45" s="182" t="s">
        <v>1244</v>
      </c>
      <c r="BG45" s="210">
        <f>VLOOKUP(BD45,'PGB tarieven'!$A$7:$M$53,13,FALSE)</f>
        <v>51351</v>
      </c>
      <c r="BH45" s="211">
        <f t="shared" si="29"/>
        <v>984.81369863013697</v>
      </c>
      <c r="BI45" s="193"/>
      <c r="BJ45" s="193"/>
      <c r="BK45" s="212" t="s">
        <v>1212</v>
      </c>
      <c r="BL45" s="175">
        <f>VLOOKUP(BK45,'Ruimte behandeling basis MPT'!$A$2:$H$41,8,FALSE)</f>
        <v>125.15999999999997</v>
      </c>
      <c r="BR45" s="135">
        <v>108</v>
      </c>
      <c r="BS45" s="135" t="s">
        <v>1819</v>
      </c>
      <c r="CA45" s="214"/>
      <c r="CB45" s="214"/>
      <c r="CC45" s="214"/>
      <c r="CD45" s="214"/>
      <c r="CE45" s="214"/>
      <c r="CF45" s="214"/>
      <c r="CG45" s="214"/>
      <c r="CH45" s="214"/>
      <c r="CI45" s="181" t="s">
        <v>1220</v>
      </c>
      <c r="CJ45" s="209" t="s">
        <v>1634</v>
      </c>
      <c r="CK45" s="215" t="s">
        <v>1244</v>
      </c>
      <c r="CL45" s="230" t="s">
        <v>1208</v>
      </c>
      <c r="CM45" s="231">
        <v>856</v>
      </c>
      <c r="CN45" s="232">
        <v>8220</v>
      </c>
      <c r="CO45" s="232">
        <f t="shared" si="8"/>
        <v>158.07692307692307</v>
      </c>
      <c r="CP45" s="231">
        <v>0</v>
      </c>
      <c r="CQ45" s="232">
        <f t="shared" si="9"/>
        <v>0</v>
      </c>
      <c r="CR45" s="232">
        <v>35682</v>
      </c>
      <c r="CS45" s="232">
        <f t="shared" si="10"/>
        <v>686.19230769230774</v>
      </c>
      <c r="CT45" s="232">
        <v>18622</v>
      </c>
      <c r="CU45" s="232">
        <f t="shared" si="11"/>
        <v>358.11538461538464</v>
      </c>
      <c r="CV45" s="232">
        <v>3357</v>
      </c>
      <c r="CW45" s="232">
        <v>65881</v>
      </c>
      <c r="CX45" s="233">
        <v>62524</v>
      </c>
      <c r="DR45" s="142" t="s">
        <v>2691</v>
      </c>
      <c r="DS45" s="142" t="s">
        <v>1543</v>
      </c>
      <c r="DU45" s="181" t="s">
        <v>1231</v>
      </c>
      <c r="DV45" s="182" t="s">
        <v>1148</v>
      </c>
      <c r="DW45" s="135" t="s">
        <v>1598</v>
      </c>
      <c r="DX45" s="200">
        <f t="shared" si="13"/>
        <v>11.875</v>
      </c>
      <c r="DY45" s="135">
        <v>9.5</v>
      </c>
      <c r="EO45" s="142" t="str">
        <f>CONCATENATE($F$5,$G$8,B31)</f>
        <v/>
      </c>
      <c r="ET45" s="135" t="s">
        <v>2851</v>
      </c>
      <c r="EU45" s="135" t="s">
        <v>2941</v>
      </c>
      <c r="EY45" s="135" t="s">
        <v>2657</v>
      </c>
      <c r="EZ45" s="135" t="s">
        <v>2926</v>
      </c>
      <c r="FA45" s="135" t="s">
        <v>47</v>
      </c>
      <c r="FB45" s="135" t="str">
        <f t="shared" si="7"/>
        <v>3vvVPT</v>
      </c>
      <c r="FC45" s="156">
        <f>VLOOKUP(EZ45,'Tarieven VPT'!$D$6:$I$113,6,FALSE)</f>
        <v>146.31395433561758</v>
      </c>
      <c r="FD45" s="156">
        <f t="shared" si="30"/>
        <v>1024.197680349323</v>
      </c>
      <c r="FI45" s="181" t="s">
        <v>1239</v>
      </c>
      <c r="FJ45" s="135">
        <v>2</v>
      </c>
    </row>
    <row r="46" spans="1:166" ht="19.5" hidden="1" thickBot="1" x14ac:dyDescent="0.35">
      <c r="B46" s="295">
        <f ca="1">E45-I38</f>
        <v>0</v>
      </c>
      <c r="D46" s="292">
        <f ca="1">IF($D$50&gt;=0,$D$50,IF(SUM($I$38:$I$42)&lt;($M$6+$D$48),$M$6+$D$48-$I$38-$I$39-$I$41-$I$40-$I$42,IF($D$47-$D$49&gt;0,$D$47-$D$49,$D$49-$D$47)))</f>
        <v>0</v>
      </c>
      <c r="G46" s="291">
        <f ca="1">IF(G47&gt;0,G47,H47)</f>
        <v>0</v>
      </c>
      <c r="I46" s="292"/>
      <c r="J46" s="292"/>
      <c r="K46" s="292"/>
      <c r="L46" s="26"/>
      <c r="M46" s="35">
        <f ca="1">M6-I32</f>
        <v>0</v>
      </c>
      <c r="Q46" s="113">
        <f>IFERROR(IF(D42= "Gespecialiseerde verpleging",10,IF(D42="extra budget voor behandeling",1,IF(Q24="meerzorg",3,IF(D42="toeslag beademing",2,IF(AND(D42=0,Q24="overig"),3,5))))),0)</f>
        <v>5</v>
      </c>
      <c r="R46" s="113">
        <f>IF(Q48=1,V55,IF(Q48=2,V56,IF(Q48=5,0,IF(Q48=6,V53,V52))))</f>
        <v>0</v>
      </c>
      <c r="T46" s="135" t="s">
        <v>3701</v>
      </c>
      <c r="U46" s="135" t="s">
        <v>3701</v>
      </c>
      <c r="V46" s="156">
        <f ca="1">SUM($I$32:$I$33)-$I$38-$I$41</f>
        <v>0</v>
      </c>
      <c r="W46" s="156">
        <f>$M$6*25%</f>
        <v>0</v>
      </c>
      <c r="X46" s="156">
        <f ca="1">V46-W46</f>
        <v>0</v>
      </c>
      <c r="Y46" s="156">
        <f ca="1">IF(X46&gt;0,W46,V46)</f>
        <v>0</v>
      </c>
      <c r="Z46" s="200"/>
      <c r="AC46" s="150"/>
      <c r="AD46" s="150"/>
      <c r="AE46" s="150"/>
      <c r="AF46" s="150"/>
      <c r="AG46" s="150"/>
      <c r="AH46" s="150"/>
      <c r="AI46" s="150"/>
      <c r="AJ46" s="135" t="s">
        <v>2841</v>
      </c>
      <c r="AK46" s="135" t="s">
        <v>2801</v>
      </c>
      <c r="AL46" s="151"/>
      <c r="AM46" s="151"/>
      <c r="AN46" s="170">
        <v>16</v>
      </c>
      <c r="AO46" s="170" t="s">
        <v>1552</v>
      </c>
      <c r="AP46" s="170"/>
      <c r="AQ46" s="170"/>
      <c r="AR46" s="170"/>
      <c r="AS46" s="170"/>
      <c r="AT46" s="170"/>
      <c r="AU46" s="170"/>
      <c r="AV46" s="170"/>
      <c r="AW46" s="170"/>
      <c r="AX46" s="165" t="s">
        <v>1638</v>
      </c>
      <c r="AY46" s="135" t="s">
        <v>427</v>
      </c>
      <c r="AZ46" s="206">
        <f>VLOOKUP(AY46,'Tarieven ZIN prestaties'!$B$1:$D$84,2,FALSE)</f>
        <v>73.069999999999993</v>
      </c>
      <c r="BA46" s="207"/>
      <c r="BD46" s="181" t="s">
        <v>1220</v>
      </c>
      <c r="BE46" s="209">
        <v>756</v>
      </c>
      <c r="BF46" s="182" t="s">
        <v>1244</v>
      </c>
      <c r="BG46" s="210">
        <f>VLOOKUP(BD46,'PGB tarieven'!$A$7:$M$53,13,FALSE)</f>
        <v>64324</v>
      </c>
      <c r="BH46" s="211">
        <f t="shared" si="29"/>
        <v>1233.6109589041096</v>
      </c>
      <c r="BI46" s="193"/>
      <c r="BJ46" s="193"/>
      <c r="BK46" s="212" t="s">
        <v>1213</v>
      </c>
      <c r="BL46" s="175">
        <f>VLOOKUP(BK46,'Ruimte behandeling basis MPT'!$A$2:$H$41,8,FALSE)</f>
        <v>155.32999999999998</v>
      </c>
      <c r="BR46" s="135">
        <v>109</v>
      </c>
      <c r="BS46" s="135" t="s">
        <v>1819</v>
      </c>
      <c r="CA46" s="214"/>
      <c r="CB46" s="214"/>
      <c r="CC46" s="214"/>
      <c r="CD46" s="214"/>
      <c r="CE46" s="214"/>
      <c r="CF46" s="214"/>
      <c r="CG46" s="214"/>
      <c r="CH46" s="214"/>
      <c r="CI46" s="181" t="s">
        <v>1221</v>
      </c>
      <c r="CJ46" s="209" t="s">
        <v>1634</v>
      </c>
      <c r="CK46" s="215" t="s">
        <v>1244</v>
      </c>
      <c r="CL46" s="230" t="s">
        <v>1214</v>
      </c>
      <c r="CM46" s="231">
        <v>750</v>
      </c>
      <c r="CN46" s="232">
        <v>1497</v>
      </c>
      <c r="CO46" s="232">
        <f t="shared" si="8"/>
        <v>28.78846153846154</v>
      </c>
      <c r="CP46" s="232">
        <v>3845</v>
      </c>
      <c r="CQ46" s="232">
        <f t="shared" si="9"/>
        <v>73.942307692307693</v>
      </c>
      <c r="CR46" s="232">
        <v>5959</v>
      </c>
      <c r="CS46" s="232">
        <f t="shared" si="10"/>
        <v>114.59615384615384</v>
      </c>
      <c r="CT46" s="231">
        <v>0</v>
      </c>
      <c r="CU46" s="232">
        <f t="shared" si="11"/>
        <v>0</v>
      </c>
      <c r="CV46" s="232">
        <v>3357</v>
      </c>
      <c r="CW46" s="232">
        <v>14658</v>
      </c>
      <c r="CX46" s="233">
        <v>11301</v>
      </c>
      <c r="DR46" s="142" t="s">
        <v>2692</v>
      </c>
      <c r="DS46" s="142" t="s">
        <v>1543</v>
      </c>
      <c r="DU46" s="181" t="s">
        <v>1232</v>
      </c>
      <c r="DV46" s="182" t="s">
        <v>1148</v>
      </c>
      <c r="DW46" s="135" t="s">
        <v>1598</v>
      </c>
      <c r="DX46" s="200">
        <f t="shared" si="13"/>
        <v>15.625</v>
      </c>
      <c r="DY46" s="135">
        <v>12.5</v>
      </c>
      <c r="EO46" s="142"/>
      <c r="ET46" s="135" t="s">
        <v>2857</v>
      </c>
      <c r="EU46" s="135" t="s">
        <v>2947</v>
      </c>
      <c r="EY46" s="135" t="s">
        <v>2659</v>
      </c>
      <c r="EZ46" s="135" t="s">
        <v>2927</v>
      </c>
      <c r="FA46" s="135" t="s">
        <v>47</v>
      </c>
      <c r="FB46" s="135" t="str">
        <f t="shared" si="7"/>
        <v>4vvVPT</v>
      </c>
      <c r="FC46" s="156">
        <f>VLOOKUP(EZ46,'Tarieven VPT'!$D$6:$I$113,6,FALSE)</f>
        <v>156.45000000000002</v>
      </c>
      <c r="FD46" s="156">
        <f t="shared" si="30"/>
        <v>1095.1500000000001</v>
      </c>
      <c r="FI46" s="181" t="s">
        <v>1240</v>
      </c>
      <c r="FJ46" s="135">
        <v>2</v>
      </c>
    </row>
    <row r="47" spans="1:166" ht="19.5" hidden="1" thickBot="1" x14ac:dyDescent="0.35">
      <c r="D47" s="292">
        <f ca="1">I35</f>
        <v>0</v>
      </c>
      <c r="F47" s="291" t="s">
        <v>2753</v>
      </c>
      <c r="G47" s="292">
        <f ca="1">T19-I33</f>
        <v>0</v>
      </c>
      <c r="H47" s="292">
        <f ca="1">I33-T19</f>
        <v>0</v>
      </c>
      <c r="I47" s="293" t="e">
        <f ca="1">IF($G$55=1,$N$44-$G$47,$N$44)</f>
        <v>#N/A</v>
      </c>
      <c r="L47" s="26"/>
      <c r="M47" s="35">
        <f ca="1">T19-I33</f>
        <v>0</v>
      </c>
      <c r="Q47" s="113">
        <f>IFERROR(IF(D42="palliatief terminale zorg",1,IF(D42="Extra overbruggingszorg (actief wachtend)",2,0)),0)</f>
        <v>0</v>
      </c>
      <c r="T47" s="135" t="s">
        <v>3701</v>
      </c>
      <c r="V47" s="156">
        <f ca="1">SUM($I$32:$I$33)-$I$38-$I$41</f>
        <v>0</v>
      </c>
      <c r="W47" s="156">
        <f>$M$6*25%</f>
        <v>0</v>
      </c>
      <c r="X47" s="156">
        <f ca="1">V47-W47</f>
        <v>0</v>
      </c>
      <c r="Y47" s="156">
        <f ca="1">IF(X47&gt;0,W47,V47)</f>
        <v>0</v>
      </c>
      <c r="Z47" s="200"/>
      <c r="AC47" s="150"/>
      <c r="AD47" s="150"/>
      <c r="AE47" s="150"/>
      <c r="AF47" s="150"/>
      <c r="AG47" s="150"/>
      <c r="AH47" s="150"/>
      <c r="AI47" s="150"/>
      <c r="AJ47" s="135" t="s">
        <v>2842</v>
      </c>
      <c r="AK47" s="135" t="s">
        <v>2802</v>
      </c>
      <c r="AL47" s="151"/>
      <c r="AM47" s="151"/>
      <c r="AN47" s="170">
        <v>17</v>
      </c>
      <c r="AO47" s="170" t="s">
        <v>1552</v>
      </c>
      <c r="AP47" s="170"/>
      <c r="AQ47" s="170"/>
      <c r="AR47" s="170"/>
      <c r="AS47" s="170"/>
      <c r="AT47" s="170"/>
      <c r="AU47" s="170"/>
      <c r="AV47" s="170"/>
      <c r="AW47" s="170"/>
      <c r="AX47" s="165" t="s">
        <v>1744</v>
      </c>
      <c r="AY47" s="135" t="s">
        <v>435</v>
      </c>
      <c r="AZ47" s="206">
        <f>VLOOKUP(AY47,'Tarieven ZIN prestaties'!$B$1:$D$84,2,FALSE)</f>
        <v>7.35</v>
      </c>
      <c r="BA47" s="207"/>
      <c r="BD47" s="181" t="s">
        <v>1221</v>
      </c>
      <c r="BE47" s="209">
        <v>757</v>
      </c>
      <c r="BF47" s="182" t="s">
        <v>1244</v>
      </c>
      <c r="BG47" s="210">
        <f>VLOOKUP(BD47,'PGB tarieven'!$A$7:$M$53,13,FALSE)</f>
        <v>76770</v>
      </c>
      <c r="BH47" s="211">
        <f t="shared" si="29"/>
        <v>1472.3013698630136</v>
      </c>
      <c r="BI47" s="193"/>
      <c r="BJ47" s="193"/>
      <c r="BK47" s="272"/>
      <c r="BL47" s="175"/>
      <c r="BR47" s="135">
        <v>600</v>
      </c>
      <c r="BS47" s="135" t="s">
        <v>2697</v>
      </c>
      <c r="CA47" s="214"/>
      <c r="CB47" s="214"/>
      <c r="CC47" s="214"/>
      <c r="CD47" s="214"/>
      <c r="CE47" s="214"/>
      <c r="CF47" s="214"/>
      <c r="CG47" s="214"/>
      <c r="CH47" s="214"/>
      <c r="CI47" s="181" t="s">
        <v>1596</v>
      </c>
      <c r="CJ47" s="209" t="s">
        <v>1634</v>
      </c>
      <c r="CK47" s="215" t="s">
        <v>1244</v>
      </c>
      <c r="CL47" s="230" t="s">
        <v>1215</v>
      </c>
      <c r="CM47" s="231">
        <v>751</v>
      </c>
      <c r="CN47" s="232">
        <v>8220</v>
      </c>
      <c r="CO47" s="232">
        <f t="shared" si="8"/>
        <v>158.07692307692307</v>
      </c>
      <c r="CP47" s="232">
        <v>7690</v>
      </c>
      <c r="CQ47" s="232">
        <f t="shared" si="9"/>
        <v>147.88461538461539</v>
      </c>
      <c r="CR47" s="232">
        <v>1987</v>
      </c>
      <c r="CS47" s="232">
        <f t="shared" si="10"/>
        <v>38.21153846153846</v>
      </c>
      <c r="CT47" s="231">
        <v>0</v>
      </c>
      <c r="CU47" s="232">
        <f t="shared" si="11"/>
        <v>0</v>
      </c>
      <c r="CV47" s="232">
        <v>3357</v>
      </c>
      <c r="CW47" s="232">
        <v>21254</v>
      </c>
      <c r="CX47" s="233">
        <v>17897</v>
      </c>
      <c r="DR47" s="142" t="s">
        <v>2693</v>
      </c>
      <c r="DS47" s="142" t="s">
        <v>1543</v>
      </c>
      <c r="DU47" s="181" t="s">
        <v>1233</v>
      </c>
      <c r="DV47" s="182" t="s">
        <v>1148</v>
      </c>
      <c r="DW47" s="135" t="s">
        <v>1598</v>
      </c>
      <c r="DX47" s="200">
        <f t="shared" si="13"/>
        <v>18.75</v>
      </c>
      <c r="DY47" s="135">
        <v>15</v>
      </c>
      <c r="ET47" s="135" t="s">
        <v>2863</v>
      </c>
      <c r="EU47" s="135" t="s">
        <v>2953</v>
      </c>
      <c r="EY47" s="135" t="s">
        <v>2660</v>
      </c>
      <c r="EZ47" s="135" t="s">
        <v>2928</v>
      </c>
      <c r="FA47" s="135" t="s">
        <v>47</v>
      </c>
      <c r="FB47" s="135" t="str">
        <f t="shared" si="7"/>
        <v>5vvVPT</v>
      </c>
      <c r="FC47" s="156">
        <f>VLOOKUP(EZ47,'Tarieven VPT'!$D$6:$I$113,6,FALSE)</f>
        <v>208.48</v>
      </c>
      <c r="FD47" s="156">
        <f t="shared" si="30"/>
        <v>1459.36</v>
      </c>
      <c r="FI47" s="181" t="s">
        <v>1241</v>
      </c>
      <c r="FJ47" s="135">
        <v>2</v>
      </c>
    </row>
    <row r="48" spans="1:166" ht="19.5" hidden="1" thickBot="1" x14ac:dyDescent="0.35">
      <c r="D48" s="291">
        <f ca="1">IF(I33=0,0,M15)</f>
        <v>0</v>
      </c>
      <c r="E48" s="291">
        <f>IF(OR(Q24&lt;&gt;"",Q24&lt;&gt;"Nee"),1,2)</f>
        <v>1</v>
      </c>
      <c r="F48" s="291" t="s">
        <v>2754</v>
      </c>
      <c r="G48" s="291">
        <f>IF(T19=0,0,1)</f>
        <v>0</v>
      </c>
      <c r="I48" s="292" t="e">
        <f ca="1">IF(M10-I47&gt;0,E45,I47)</f>
        <v>#N/A</v>
      </c>
      <c r="J48" s="292"/>
      <c r="K48" s="292"/>
      <c r="L48" s="26"/>
      <c r="M48" s="35">
        <f ca="1">E45-T1</f>
        <v>0</v>
      </c>
      <c r="P48" s="113" t="s">
        <v>1808</v>
      </c>
      <c r="Q48" s="113">
        <f>SUM(Q46:Q47)</f>
        <v>5</v>
      </c>
      <c r="T48" s="135" t="s">
        <v>3701</v>
      </c>
      <c r="V48" s="156">
        <f ca="1">SUM($I$32:$I$33)-$I$38-$I$41</f>
        <v>0</v>
      </c>
      <c r="W48" s="156">
        <f>$M$6*25%</f>
        <v>0</v>
      </c>
      <c r="X48" s="156">
        <f ca="1">V48-W48</f>
        <v>0</v>
      </c>
      <c r="Y48" s="156">
        <f ca="1">IF(X49&gt;0,W49,V49)</f>
        <v>0</v>
      </c>
      <c r="Z48" s="200"/>
      <c r="AC48" s="150"/>
      <c r="AD48" s="150"/>
      <c r="AE48" s="150"/>
      <c r="AF48" s="150"/>
      <c r="AG48" s="150"/>
      <c r="AH48" s="150"/>
      <c r="AI48" s="150"/>
      <c r="AJ48" s="135" t="s">
        <v>2843</v>
      </c>
      <c r="AK48" s="135" t="s">
        <v>2803</v>
      </c>
      <c r="AL48" s="151"/>
      <c r="AM48" s="151"/>
      <c r="AN48" s="170">
        <v>18</v>
      </c>
      <c r="AO48" s="170" t="s">
        <v>1552</v>
      </c>
      <c r="AP48" s="170"/>
      <c r="AQ48" s="170"/>
      <c r="AR48" s="170"/>
      <c r="AS48" s="170"/>
      <c r="AT48" s="170"/>
      <c r="AU48" s="170"/>
      <c r="AV48" s="170"/>
      <c r="AW48" s="170"/>
      <c r="AX48" s="165" t="s">
        <v>1745</v>
      </c>
      <c r="AY48" s="135" t="s">
        <v>500</v>
      </c>
      <c r="AZ48" s="206">
        <f>VLOOKUP(AY48,'Tarieven ZIN prestaties'!$B$1:$D$84,2,FALSE)</f>
        <v>37.32</v>
      </c>
      <c r="BA48" s="207"/>
      <c r="BD48" s="181" t="s">
        <v>1596</v>
      </c>
      <c r="BE48" s="209">
        <v>191</v>
      </c>
      <c r="BF48" s="182" t="s">
        <v>1244</v>
      </c>
      <c r="BG48" s="210">
        <f>VLOOKUP(BD48,'PGB tarieven'!$A$7:$M$53,13,FALSE)</f>
        <v>49229</v>
      </c>
      <c r="BH48" s="211">
        <f t="shared" si="29"/>
        <v>944.11780821917796</v>
      </c>
      <c r="BI48" s="193"/>
      <c r="BJ48" s="193"/>
      <c r="BK48" s="272"/>
      <c r="BL48" s="175"/>
      <c r="BR48" s="135">
        <v>601</v>
      </c>
      <c r="BS48" s="135" t="s">
        <v>2697</v>
      </c>
      <c r="CA48" s="214"/>
      <c r="CB48" s="214"/>
      <c r="CC48" s="214"/>
      <c r="CD48" s="214"/>
      <c r="CE48" s="214"/>
      <c r="CF48" s="214"/>
      <c r="CG48" s="214"/>
      <c r="CH48" s="214"/>
      <c r="CI48" s="181" t="s">
        <v>1223</v>
      </c>
      <c r="CJ48" s="209" t="s">
        <v>1634</v>
      </c>
      <c r="CK48" s="215" t="s">
        <v>1244</v>
      </c>
      <c r="CL48" s="230" t="s">
        <v>1216</v>
      </c>
      <c r="CM48" s="231">
        <v>752</v>
      </c>
      <c r="CN48" s="232">
        <v>12711</v>
      </c>
      <c r="CO48" s="232">
        <f t="shared" si="8"/>
        <v>244.44230769230768</v>
      </c>
      <c r="CP48" s="232">
        <v>3845</v>
      </c>
      <c r="CQ48" s="232">
        <f t="shared" si="9"/>
        <v>73.942307692307693</v>
      </c>
      <c r="CR48" s="232">
        <v>5959</v>
      </c>
      <c r="CS48" s="232">
        <f t="shared" si="10"/>
        <v>114.59615384615384</v>
      </c>
      <c r="CT48" s="231">
        <v>0</v>
      </c>
      <c r="CU48" s="232">
        <f t="shared" si="11"/>
        <v>0</v>
      </c>
      <c r="CV48" s="232">
        <v>3357</v>
      </c>
      <c r="CW48" s="232">
        <v>25872</v>
      </c>
      <c r="CX48" s="233">
        <v>22515</v>
      </c>
      <c r="DR48" s="142" t="s">
        <v>2694</v>
      </c>
      <c r="DS48" s="142" t="s">
        <v>1543</v>
      </c>
      <c r="DU48" s="181" t="s">
        <v>1234</v>
      </c>
      <c r="DV48" s="182" t="s">
        <v>1148</v>
      </c>
      <c r="DW48" s="135" t="s">
        <v>1631</v>
      </c>
      <c r="DX48" s="200">
        <f t="shared" si="13"/>
        <v>23.125</v>
      </c>
      <c r="DY48" s="135">
        <v>18.5</v>
      </c>
      <c r="ET48" s="135" t="s">
        <v>2864</v>
      </c>
      <c r="EU48" s="135" t="s">
        <v>2782</v>
      </c>
      <c r="EY48" s="135" t="s">
        <v>2661</v>
      </c>
      <c r="EZ48" s="135" t="s">
        <v>2929</v>
      </c>
      <c r="FA48" s="135" t="s">
        <v>47</v>
      </c>
      <c r="FB48" s="135" t="str">
        <f t="shared" si="7"/>
        <v>6vvVPT</v>
      </c>
      <c r="FC48" s="156">
        <f>VLOOKUP(EZ48,'Tarieven VPT'!$D$6:$I$113,6,FALSE)</f>
        <v>208.83</v>
      </c>
      <c r="FD48" s="156">
        <f t="shared" si="30"/>
        <v>1461.8100000000002</v>
      </c>
      <c r="FI48" s="181" t="s">
        <v>1242</v>
      </c>
      <c r="FJ48" s="135">
        <v>2</v>
      </c>
    </row>
    <row r="49" spans="2:166" ht="19.5" hidden="1" thickBot="1" x14ac:dyDescent="0.35">
      <c r="D49" s="292">
        <f ca="1">D48+M17+M12+M8</f>
        <v>0</v>
      </c>
      <c r="I49" s="292" t="e">
        <f ca="1">IF(M6-I48&lt;0,M6,I48)</f>
        <v>#N/A</v>
      </c>
      <c r="L49" s="26"/>
      <c r="M49" s="113">
        <f ca="1">IF(I33=0,1,0)</f>
        <v>1</v>
      </c>
      <c r="T49" s="136" t="s">
        <v>3701</v>
      </c>
      <c r="U49" s="136" t="s">
        <v>1816</v>
      </c>
      <c r="V49" s="156">
        <f ca="1">SUM($I$32:$I$33)-$I$38-$I$41</f>
        <v>0</v>
      </c>
      <c r="W49" s="156">
        <f>$M$6*25%</f>
        <v>0</v>
      </c>
      <c r="X49" s="156">
        <f ca="1">V49-W49</f>
        <v>0</v>
      </c>
      <c r="Y49" s="156">
        <f ca="1">IF(X50&gt;0,W50,V50)</f>
        <v>0</v>
      </c>
      <c r="Z49" s="200"/>
      <c r="AC49" s="150"/>
      <c r="AD49" s="157"/>
      <c r="AE49" s="150"/>
      <c r="AF49" s="150"/>
      <c r="AG49" s="150"/>
      <c r="AH49" s="150"/>
      <c r="AI49" s="150"/>
      <c r="AJ49" s="135" t="s">
        <v>2844</v>
      </c>
      <c r="AK49" s="151"/>
      <c r="AL49" s="151"/>
      <c r="AM49" s="151"/>
      <c r="AN49" s="170">
        <v>19</v>
      </c>
      <c r="AO49" s="170" t="s">
        <v>1552</v>
      </c>
      <c r="AP49" s="170"/>
      <c r="AQ49" s="170"/>
      <c r="AR49" s="170"/>
      <c r="AS49" s="170"/>
      <c r="AT49" s="170"/>
      <c r="AU49" s="170"/>
      <c r="AV49" s="170"/>
      <c r="AW49" s="170"/>
      <c r="AX49" s="165" t="s">
        <v>1746</v>
      </c>
      <c r="AY49" s="135" t="s">
        <v>524</v>
      </c>
      <c r="AZ49" s="206">
        <f>VLOOKUP(AY49,'Tarieven ZIN prestaties'!$B$1:$D$84,2,FALSE)</f>
        <v>52.68</v>
      </c>
      <c r="BA49" s="207"/>
      <c r="BD49" s="181" t="s">
        <v>1238</v>
      </c>
      <c r="BE49" s="209">
        <v>780</v>
      </c>
      <c r="BF49" s="182" t="s">
        <v>1244</v>
      </c>
      <c r="BG49" s="210">
        <f>VLOOKUP(BD49,'PGB tarieven'!$A$7:$M$53,13,FALSE)</f>
        <v>29980</v>
      </c>
      <c r="BH49" s="211">
        <f t="shared" si="29"/>
        <v>574.95890410958896</v>
      </c>
      <c r="BI49" s="193"/>
      <c r="BJ49" s="193"/>
      <c r="BK49" s="272"/>
      <c r="BL49" s="175"/>
      <c r="BR49" s="135">
        <v>602</v>
      </c>
      <c r="BS49" s="135" t="s">
        <v>2697</v>
      </c>
      <c r="CA49" s="214"/>
      <c r="CB49" s="214"/>
      <c r="CC49" s="214"/>
      <c r="CD49" s="214"/>
      <c r="CE49" s="214"/>
      <c r="CF49" s="214"/>
      <c r="CG49" s="214"/>
      <c r="CH49" s="214"/>
      <c r="CI49" s="181" t="s">
        <v>1238</v>
      </c>
      <c r="CJ49" s="209" t="s">
        <v>1634</v>
      </c>
      <c r="CK49" s="215" t="s">
        <v>1244</v>
      </c>
      <c r="CL49" s="230" t="s">
        <v>1217</v>
      </c>
      <c r="CM49" s="231">
        <v>753</v>
      </c>
      <c r="CN49" s="232">
        <v>12711</v>
      </c>
      <c r="CO49" s="232">
        <f t="shared" si="8"/>
        <v>244.44230769230768</v>
      </c>
      <c r="CP49" s="232">
        <v>7690</v>
      </c>
      <c r="CQ49" s="232">
        <f t="shared" si="9"/>
        <v>147.88461538461539</v>
      </c>
      <c r="CR49" s="232">
        <v>10907</v>
      </c>
      <c r="CS49" s="232">
        <f t="shared" si="10"/>
        <v>209.75</v>
      </c>
      <c r="CT49" s="231">
        <v>0</v>
      </c>
      <c r="CU49" s="232">
        <f t="shared" si="11"/>
        <v>0</v>
      </c>
      <c r="CV49" s="232">
        <v>3357</v>
      </c>
      <c r="CW49" s="232">
        <v>34665</v>
      </c>
      <c r="CX49" s="233">
        <v>31308</v>
      </c>
      <c r="DR49" s="142" t="s">
        <v>2695</v>
      </c>
      <c r="DS49" s="142" t="s">
        <v>1543</v>
      </c>
      <c r="DU49" s="181" t="s">
        <v>1235</v>
      </c>
      <c r="DV49" s="182" t="s">
        <v>1148</v>
      </c>
      <c r="DW49" s="135" t="s">
        <v>1598</v>
      </c>
      <c r="DX49" s="200">
        <f t="shared" si="13"/>
        <v>23.75</v>
      </c>
      <c r="DY49" s="135">
        <v>19</v>
      </c>
      <c r="ET49" s="135" t="s">
        <v>2865</v>
      </c>
      <c r="EU49" s="135" t="s">
        <v>2783</v>
      </c>
      <c r="EY49" s="135" t="s">
        <v>2662</v>
      </c>
      <c r="EZ49" s="135" t="s">
        <v>2930</v>
      </c>
      <c r="FA49" s="135" t="s">
        <v>47</v>
      </c>
      <c r="FB49" s="135" t="str">
        <f t="shared" si="7"/>
        <v>7vvVPT</v>
      </c>
      <c r="FC49" s="156">
        <f>VLOOKUP(EZ49,'Tarieven VPT'!$D$6:$I$113,6,FALSE)</f>
        <v>248.6</v>
      </c>
      <c r="FD49" s="156">
        <f t="shared" si="30"/>
        <v>1740.2</v>
      </c>
      <c r="FI49" s="181" t="s">
        <v>1243</v>
      </c>
      <c r="FJ49" s="135">
        <v>2</v>
      </c>
    </row>
    <row r="50" spans="2:166" ht="19.5" hidden="1" thickBot="1" x14ac:dyDescent="0.35">
      <c r="D50" s="291">
        <f ca="1">IF(B43="overschrijding",D49-D47,D47-D49-I40-I42)</f>
        <v>0</v>
      </c>
      <c r="E50" s="291">
        <f t="shared" ref="E50:E62" si="31">IF($E$20=E19,3,0)</f>
        <v>3</v>
      </c>
      <c r="I50" s="292">
        <f ca="1">IF($T$19-$I$33&gt;0,$I$33,$T$19)</f>
        <v>0</v>
      </c>
      <c r="M50" s="113">
        <f ca="1">IF(M46&lt;0,1,0)</f>
        <v>0</v>
      </c>
      <c r="Q50" s="35"/>
      <c r="R50" s="35"/>
      <c r="T50" s="136" t="s">
        <v>3701</v>
      </c>
      <c r="U50" s="136" t="s">
        <v>1817</v>
      </c>
      <c r="V50" s="156">
        <f ca="1">SUM($I$32:$I$33)-$I$38-$I$41</f>
        <v>0</v>
      </c>
      <c r="W50" s="156">
        <f>$M$6*25%</f>
        <v>0</v>
      </c>
      <c r="X50" s="156">
        <f ca="1">V50-W50</f>
        <v>0</v>
      </c>
      <c r="Y50" s="156">
        <f ca="1">Y49</f>
        <v>0</v>
      </c>
      <c r="AC50" s="150"/>
      <c r="AD50" s="157"/>
      <c r="AE50" s="150"/>
      <c r="AF50" s="150"/>
      <c r="AG50" s="158"/>
      <c r="AH50" s="150"/>
      <c r="AI50" s="150"/>
      <c r="AJ50" s="135" t="s">
        <v>2845</v>
      </c>
      <c r="AK50" s="151"/>
      <c r="AL50" s="151"/>
      <c r="AM50" s="151"/>
      <c r="AN50" s="170">
        <v>20</v>
      </c>
      <c r="AO50" s="170" t="s">
        <v>1553</v>
      </c>
      <c r="AP50" s="170"/>
      <c r="AQ50" s="170"/>
      <c r="AR50" s="170"/>
      <c r="AS50" s="170"/>
      <c r="AT50" s="170"/>
      <c r="AU50" s="170"/>
      <c r="AV50" s="170"/>
      <c r="AW50" s="170"/>
      <c r="AX50" s="165" t="s">
        <v>1747</v>
      </c>
      <c r="AY50" s="135" t="s">
        <v>546</v>
      </c>
      <c r="AZ50" s="206">
        <f>VLOOKUP(AY50,'Tarieven ZIN prestaties'!$B$1:$D$84,2,FALSE)</f>
        <v>90.07</v>
      </c>
      <c r="BA50" s="207"/>
      <c r="BD50" s="181" t="s">
        <v>1239</v>
      </c>
      <c r="BE50" s="209">
        <v>781</v>
      </c>
      <c r="BF50" s="182" t="s">
        <v>1244</v>
      </c>
      <c r="BG50" s="210">
        <f>VLOOKUP(BD50,'PGB tarieven'!$A$7:$M$53,13,FALSE)</f>
        <v>42953</v>
      </c>
      <c r="BH50" s="211">
        <f t="shared" si="29"/>
        <v>823.75616438356167</v>
      </c>
      <c r="BI50" s="193"/>
      <c r="BJ50" s="193"/>
      <c r="BK50" s="272"/>
      <c r="BL50" s="175"/>
      <c r="BR50" s="135">
        <v>603</v>
      </c>
      <c r="BS50" s="135" t="s">
        <v>2697</v>
      </c>
      <c r="CA50" s="214"/>
      <c r="CB50" s="214"/>
      <c r="CC50" s="214"/>
      <c r="CD50" s="214"/>
      <c r="CE50" s="214"/>
      <c r="CF50" s="214"/>
      <c r="CG50" s="214"/>
      <c r="CH50" s="214"/>
      <c r="CI50" s="181" t="s">
        <v>1239</v>
      </c>
      <c r="CJ50" s="209" t="s">
        <v>1634</v>
      </c>
      <c r="CK50" s="215" t="s">
        <v>1244</v>
      </c>
      <c r="CL50" s="230" t="s">
        <v>1218</v>
      </c>
      <c r="CM50" s="231">
        <v>754</v>
      </c>
      <c r="CN50" s="232">
        <v>12711</v>
      </c>
      <c r="CO50" s="232">
        <f t="shared" si="8"/>
        <v>244.44230769230768</v>
      </c>
      <c r="CP50" s="232">
        <v>14099</v>
      </c>
      <c r="CQ50" s="232">
        <f t="shared" si="9"/>
        <v>271.13461538461536</v>
      </c>
      <c r="CR50" s="232">
        <v>16866</v>
      </c>
      <c r="CS50" s="232">
        <f t="shared" si="10"/>
        <v>324.34615384615387</v>
      </c>
      <c r="CT50" s="231">
        <v>0</v>
      </c>
      <c r="CU50" s="232">
        <f t="shared" si="11"/>
        <v>0</v>
      </c>
      <c r="CV50" s="232">
        <v>3357</v>
      </c>
      <c r="CW50" s="232">
        <v>47033</v>
      </c>
      <c r="CX50" s="233">
        <v>43676</v>
      </c>
      <c r="DR50" s="142" t="s">
        <v>2673</v>
      </c>
      <c r="DS50" s="142" t="s">
        <v>1543</v>
      </c>
      <c r="DU50" s="181" t="s">
        <v>1236</v>
      </c>
      <c r="DV50" s="182" t="s">
        <v>1148</v>
      </c>
      <c r="DW50" s="135" t="s">
        <v>1631</v>
      </c>
      <c r="DX50" s="200">
        <f t="shared" si="13"/>
        <v>30</v>
      </c>
      <c r="DY50" s="261">
        <v>24</v>
      </c>
      <c r="ET50" s="135" t="s">
        <v>2866</v>
      </c>
      <c r="EU50" s="135" t="s">
        <v>2784</v>
      </c>
      <c r="EY50" s="135" t="s">
        <v>2663</v>
      </c>
      <c r="EZ50" s="135" t="s">
        <v>2931</v>
      </c>
      <c r="FA50" s="135" t="s">
        <v>47</v>
      </c>
      <c r="FB50" s="135" t="str">
        <f t="shared" si="7"/>
        <v>8vvVPT</v>
      </c>
      <c r="FC50" s="156">
        <f>VLOOKUP(EZ50,'Tarieven VPT'!$D$6:$I$113,6,FALSE)</f>
        <v>282.45</v>
      </c>
      <c r="FD50" s="156">
        <f t="shared" si="30"/>
        <v>1977.1499999999999</v>
      </c>
    </row>
    <row r="51" spans="2:166" ht="19.5" hidden="1" thickBot="1" x14ac:dyDescent="0.35">
      <c r="D51" s="291">
        <f t="shared" ref="D51:D63" si="32">IF($E$19=E19,2,0)</f>
        <v>2</v>
      </c>
      <c r="E51" s="291">
        <f t="shared" si="31"/>
        <v>3</v>
      </c>
      <c r="G51" s="291">
        <f ca="1">IF(OR(G47&gt;0,G47&lt;0),1,100)</f>
        <v>100</v>
      </c>
      <c r="I51" s="292" t="e">
        <f ca="1">IF(I49-M6=0,I49+I50,I49)</f>
        <v>#N/A</v>
      </c>
      <c r="M51" s="113">
        <f ca="1">IF(M47&lt;0,3,4)</f>
        <v>4</v>
      </c>
      <c r="O51" s="35">
        <f ca="1">I35-M6-M12-T25</f>
        <v>0</v>
      </c>
      <c r="T51" s="135">
        <v>10</v>
      </c>
      <c r="U51" s="135" t="s">
        <v>1406</v>
      </c>
      <c r="V51" s="156">
        <f ca="1">$D$111-$I$38-$I$40-$I$39-I40</f>
        <v>0</v>
      </c>
      <c r="AC51" s="150"/>
      <c r="AD51" s="157"/>
      <c r="AE51" s="150"/>
      <c r="AF51" s="150"/>
      <c r="AG51" s="159"/>
      <c r="AH51" s="150"/>
      <c r="AI51" s="150"/>
      <c r="AJ51" s="135" t="s">
        <v>2846</v>
      </c>
      <c r="AK51" s="151"/>
      <c r="AL51" s="151"/>
      <c r="AM51" s="151"/>
      <c r="AN51" s="170">
        <v>21</v>
      </c>
      <c r="AO51" s="170" t="s">
        <v>1553</v>
      </c>
      <c r="AP51" s="170"/>
      <c r="AQ51" s="170"/>
      <c r="AR51" s="170"/>
      <c r="AS51" s="170"/>
      <c r="AT51" s="170"/>
      <c r="AU51" s="170"/>
      <c r="AV51" s="170"/>
      <c r="AW51" s="170"/>
      <c r="AX51" s="165" t="s">
        <v>1748</v>
      </c>
      <c r="AY51" s="135" t="s">
        <v>550</v>
      </c>
      <c r="AZ51" s="206">
        <f>VLOOKUP(AY51,'Tarieven ZIN prestaties'!$B$1:$D$84,2,FALSE)</f>
        <v>70.03</v>
      </c>
      <c r="BA51" s="207"/>
      <c r="BD51" s="181" t="s">
        <v>1240</v>
      </c>
      <c r="BE51" s="209">
        <v>782</v>
      </c>
      <c r="BF51" s="182" t="s">
        <v>1244</v>
      </c>
      <c r="BG51" s="210">
        <f>VLOOKUP(BD51,'PGB tarieven'!$A$7:$M$53,13,FALSE)</f>
        <v>51927</v>
      </c>
      <c r="BH51" s="211">
        <f t="shared" si="29"/>
        <v>995.86027397260273</v>
      </c>
      <c r="BI51" s="193"/>
      <c r="BJ51" s="193"/>
      <c r="BK51" s="272"/>
      <c r="BL51" s="175"/>
      <c r="BR51" s="135">
        <v>604</v>
      </c>
      <c r="BS51" s="135" t="s">
        <v>2697</v>
      </c>
      <c r="CA51" s="214"/>
      <c r="CB51" s="214"/>
      <c r="CC51" s="214"/>
      <c r="CD51" s="214"/>
      <c r="CE51" s="214"/>
      <c r="CF51" s="214"/>
      <c r="CG51" s="214"/>
      <c r="CH51" s="214"/>
      <c r="CI51" s="181" t="s">
        <v>1240</v>
      </c>
      <c r="CJ51" s="209" t="s">
        <v>1634</v>
      </c>
      <c r="CK51" s="215" t="s">
        <v>1244</v>
      </c>
      <c r="CL51" s="230" t="s">
        <v>1219</v>
      </c>
      <c r="CM51" s="231">
        <v>755</v>
      </c>
      <c r="CN51" s="232">
        <v>12711</v>
      </c>
      <c r="CO51" s="232">
        <f t="shared" si="8"/>
        <v>244.44230769230768</v>
      </c>
      <c r="CP51" s="232">
        <v>14099</v>
      </c>
      <c r="CQ51" s="232">
        <f t="shared" si="9"/>
        <v>271.13461538461536</v>
      </c>
      <c r="CR51" s="232">
        <v>16866</v>
      </c>
      <c r="CS51" s="232">
        <f t="shared" si="10"/>
        <v>324.34615384615387</v>
      </c>
      <c r="CT51" s="231">
        <v>0</v>
      </c>
      <c r="CU51" s="232">
        <f t="shared" si="11"/>
        <v>0</v>
      </c>
      <c r="CV51" s="232">
        <v>3357</v>
      </c>
      <c r="CW51" s="232">
        <v>47033</v>
      </c>
      <c r="CX51" s="233">
        <v>43676</v>
      </c>
      <c r="DU51" s="181" t="s">
        <v>1237</v>
      </c>
      <c r="DV51" s="182" t="s">
        <v>1148</v>
      </c>
      <c r="DW51" s="135" t="s">
        <v>1631</v>
      </c>
      <c r="DX51" s="200">
        <f t="shared" si="13"/>
        <v>28.75</v>
      </c>
      <c r="DY51" s="261">
        <v>23</v>
      </c>
      <c r="ET51" s="135" t="s">
        <v>2867</v>
      </c>
      <c r="EU51" s="135" t="s">
        <v>2785</v>
      </c>
      <c r="EY51" s="135" t="s">
        <v>1596</v>
      </c>
      <c r="EZ51" s="135" t="s">
        <v>2932</v>
      </c>
      <c r="FA51" s="135" t="s">
        <v>47</v>
      </c>
      <c r="FB51" s="135" t="str">
        <f t="shared" si="7"/>
        <v>9vvbVPT</v>
      </c>
      <c r="FC51" s="156">
        <f>VLOOKUP(EZ51,'Tarieven VPT'!$D$6:$I$113,6,FALSE)</f>
        <v>245.85</v>
      </c>
      <c r="FD51" s="156">
        <f t="shared" si="30"/>
        <v>1720.95</v>
      </c>
    </row>
    <row r="52" spans="2:166" ht="19.5" hidden="1" thickBot="1" x14ac:dyDescent="0.35">
      <c r="B52" s="291">
        <f t="shared" ref="B52:B64" si="33">IF($E$18=E19,1,0)</f>
        <v>1</v>
      </c>
      <c r="D52" s="291">
        <f t="shared" si="32"/>
        <v>2</v>
      </c>
      <c r="E52" s="291">
        <f t="shared" si="31"/>
        <v>3</v>
      </c>
      <c r="I52" s="292">
        <f>IF(M8&gt;0,M6-M8,0)</f>
        <v>0</v>
      </c>
      <c r="J52" s="292"/>
      <c r="K52" s="292"/>
      <c r="M52" s="113">
        <f ca="1">SUM(M49:M51)</f>
        <v>5</v>
      </c>
      <c r="T52" s="135">
        <v>3</v>
      </c>
      <c r="U52" s="135" t="s">
        <v>1807</v>
      </c>
      <c r="V52" s="156">
        <f ca="1">$D$111-$I$38-$I$40-$I$39-I41</f>
        <v>0</v>
      </c>
      <c r="AC52" s="150"/>
      <c r="AD52" s="157"/>
      <c r="AE52" s="150"/>
      <c r="AF52" s="150"/>
      <c r="AG52" s="159"/>
      <c r="AH52" s="150"/>
      <c r="AI52" s="150"/>
      <c r="AJ52" s="135" t="s">
        <v>2847</v>
      </c>
      <c r="AK52" s="151"/>
      <c r="AL52" s="151"/>
      <c r="AM52" s="151"/>
      <c r="AN52" s="170">
        <v>22</v>
      </c>
      <c r="AO52" s="170" t="s">
        <v>1553</v>
      </c>
      <c r="AP52" s="170"/>
      <c r="AQ52" s="170"/>
      <c r="AR52" s="170"/>
      <c r="AS52" s="170"/>
      <c r="AT52" s="170"/>
      <c r="AU52" s="170"/>
      <c r="AV52" s="170"/>
      <c r="AW52" s="170"/>
      <c r="AX52" s="165" t="s">
        <v>1749</v>
      </c>
      <c r="AY52" s="135" t="s">
        <v>502</v>
      </c>
      <c r="AZ52" s="206">
        <f>VLOOKUP(AY52,'Tarieven ZIN prestaties'!$B$1:$D$84,2,FALSE)</f>
        <v>86.31</v>
      </c>
      <c r="BA52" s="207"/>
      <c r="BD52" s="181" t="s">
        <v>1241</v>
      </c>
      <c r="BE52" s="209">
        <v>783</v>
      </c>
      <c r="BF52" s="182" t="s">
        <v>1244</v>
      </c>
      <c r="BG52" s="210">
        <f>VLOOKUP(BD52,'PGB tarieven'!$A$7:$M$53,13,FALSE)</f>
        <v>67368</v>
      </c>
      <c r="BH52" s="211">
        <f t="shared" si="29"/>
        <v>1291.9890410958906</v>
      </c>
      <c r="BI52" s="193"/>
      <c r="BJ52" s="193"/>
      <c r="BK52" s="272"/>
      <c r="BL52" s="175"/>
      <c r="BR52" s="135">
        <v>605</v>
      </c>
      <c r="BS52" s="135" t="s">
        <v>2698</v>
      </c>
      <c r="CA52" s="214"/>
      <c r="CB52" s="214"/>
      <c r="CC52" s="214"/>
      <c r="CD52" s="214"/>
      <c r="CE52" s="214"/>
      <c r="CF52" s="214"/>
      <c r="CG52" s="214"/>
      <c r="CH52" s="214"/>
      <c r="CI52" s="181" t="s">
        <v>1241</v>
      </c>
      <c r="CJ52" s="209" t="s">
        <v>1634</v>
      </c>
      <c r="CK52" s="215" t="s">
        <v>1244</v>
      </c>
      <c r="CL52" s="230" t="s">
        <v>1220</v>
      </c>
      <c r="CM52" s="231">
        <v>756</v>
      </c>
      <c r="CN52" s="232">
        <v>12711</v>
      </c>
      <c r="CO52" s="232">
        <f t="shared" si="8"/>
        <v>244.44230769230768</v>
      </c>
      <c r="CP52" s="232">
        <v>14099</v>
      </c>
      <c r="CQ52" s="232">
        <f t="shared" si="9"/>
        <v>271.13461538461536</v>
      </c>
      <c r="CR52" s="232">
        <v>28748</v>
      </c>
      <c r="CS52" s="232">
        <f t="shared" si="10"/>
        <v>552.84615384615381</v>
      </c>
      <c r="CT52" s="231">
        <v>0</v>
      </c>
      <c r="CU52" s="232">
        <f t="shared" si="11"/>
        <v>0</v>
      </c>
      <c r="CV52" s="232">
        <v>3357</v>
      </c>
      <c r="CW52" s="232">
        <v>58915</v>
      </c>
      <c r="CX52" s="233">
        <v>55558</v>
      </c>
      <c r="DU52" s="181" t="s">
        <v>1198</v>
      </c>
      <c r="DV52" s="182" t="s">
        <v>1148</v>
      </c>
      <c r="DW52" s="135" t="s">
        <v>1598</v>
      </c>
      <c r="DX52" s="200">
        <f t="shared" si="13"/>
        <v>11.25</v>
      </c>
      <c r="DY52" s="135">
        <v>9</v>
      </c>
      <c r="ET52" s="135" t="s">
        <v>2868</v>
      </c>
      <c r="EU52" s="135" t="s">
        <v>2786</v>
      </c>
      <c r="EY52" s="135" t="s">
        <v>2665</v>
      </c>
      <c r="EZ52" s="135" t="s">
        <v>2933</v>
      </c>
      <c r="FA52" s="135" t="s">
        <v>47</v>
      </c>
      <c r="FB52" s="135" t="str">
        <f t="shared" si="7"/>
        <v>10vvVPT</v>
      </c>
      <c r="FC52" s="156">
        <f>VLOOKUP(EZ52,'Tarieven VPT'!$D$6:$I$113,6,FALSE)</f>
        <v>305.32</v>
      </c>
      <c r="FD52" s="156">
        <f t="shared" si="30"/>
        <v>2137.2399999999998</v>
      </c>
    </row>
    <row r="53" spans="2:166" ht="19.5" hidden="1" thickBot="1" x14ac:dyDescent="0.35">
      <c r="B53" s="291">
        <f t="shared" si="33"/>
        <v>1</v>
      </c>
      <c r="D53" s="291">
        <f t="shared" si="32"/>
        <v>2</v>
      </c>
      <c r="E53" s="291">
        <f t="shared" si="31"/>
        <v>3</v>
      </c>
      <c r="G53" s="291">
        <f ca="1">IF(G48+G51=2,1,0)</f>
        <v>0</v>
      </c>
      <c r="I53" s="291">
        <f ca="1">IF(T19-I33&gt;0,I52,T1-M12)</f>
        <v>0</v>
      </c>
      <c r="M53" s="113">
        <f ca="1">IF(M52=5,M44,M48)</f>
        <v>0</v>
      </c>
      <c r="T53" s="135">
        <v>3</v>
      </c>
      <c r="U53" s="135" t="s">
        <v>1808</v>
      </c>
      <c r="V53" s="156">
        <f ca="1">$D$111-$I$38-$I$40-$I$39-I41</f>
        <v>0</v>
      </c>
      <c r="AC53" s="150"/>
      <c r="AD53" s="160"/>
      <c r="AE53" s="158"/>
      <c r="AF53" s="158"/>
      <c r="AG53" s="159"/>
      <c r="AH53" s="150"/>
      <c r="AI53" s="150"/>
      <c r="AJ53" s="135" t="s">
        <v>2848</v>
      </c>
      <c r="AK53" s="151"/>
      <c r="AL53" s="151"/>
      <c r="AM53" s="151"/>
      <c r="AN53" s="170">
        <v>23</v>
      </c>
      <c r="AO53" s="170" t="s">
        <v>1553</v>
      </c>
      <c r="AP53" s="170"/>
      <c r="AQ53" s="170"/>
      <c r="AR53" s="170"/>
      <c r="AS53" s="170"/>
      <c r="AT53" s="170"/>
      <c r="AU53" s="170"/>
      <c r="AV53" s="170"/>
      <c r="AW53" s="170"/>
      <c r="AX53" s="165" t="s">
        <v>1750</v>
      </c>
      <c r="AY53" s="135" t="s">
        <v>536</v>
      </c>
      <c r="AZ53" s="206">
        <f>VLOOKUP(AY53,'Tarieven ZIN prestaties'!$B$1:$D$84,2,FALSE)</f>
        <v>128.76</v>
      </c>
      <c r="BA53" s="207"/>
      <c r="BD53" s="181" t="s">
        <v>1242</v>
      </c>
      <c r="BE53" s="209">
        <v>784</v>
      </c>
      <c r="BF53" s="182" t="s">
        <v>1244</v>
      </c>
      <c r="BG53" s="210">
        <f>VLOOKUP(BD53,'PGB tarieven'!$A$7:$M$53,13,FALSE)</f>
        <v>67368</v>
      </c>
      <c r="BH53" s="211">
        <f t="shared" si="29"/>
        <v>1291.9890410958906</v>
      </c>
      <c r="BI53" s="193"/>
      <c r="BJ53" s="193"/>
      <c r="BK53" s="272"/>
      <c r="BL53" s="175"/>
      <c r="BR53" s="135">
        <v>606</v>
      </c>
      <c r="BS53" s="135" t="s">
        <v>2697</v>
      </c>
      <c r="CA53" s="214"/>
      <c r="CB53" s="214"/>
      <c r="CC53" s="214"/>
      <c r="CD53" s="214"/>
      <c r="CE53" s="214"/>
      <c r="CF53" s="214"/>
      <c r="CG53" s="214"/>
      <c r="CH53" s="214"/>
      <c r="CI53" s="181" t="s">
        <v>1242</v>
      </c>
      <c r="CJ53" s="209" t="s">
        <v>1634</v>
      </c>
      <c r="CK53" s="215" t="s">
        <v>1244</v>
      </c>
      <c r="CL53" s="230" t="s">
        <v>1221</v>
      </c>
      <c r="CM53" s="231">
        <v>757</v>
      </c>
      <c r="CN53" s="232">
        <v>17176</v>
      </c>
      <c r="CO53" s="232">
        <f t="shared" si="8"/>
        <v>330.30769230769232</v>
      </c>
      <c r="CP53" s="232">
        <v>14099</v>
      </c>
      <c r="CQ53" s="232">
        <f t="shared" si="9"/>
        <v>271.13461538461536</v>
      </c>
      <c r="CR53" s="232">
        <v>35682</v>
      </c>
      <c r="CS53" s="232">
        <f t="shared" si="10"/>
        <v>686.19230769230774</v>
      </c>
      <c r="CT53" s="231">
        <v>0</v>
      </c>
      <c r="CU53" s="232">
        <f t="shared" si="11"/>
        <v>0</v>
      </c>
      <c r="CV53" s="232">
        <v>3357</v>
      </c>
      <c r="CW53" s="232">
        <v>70314</v>
      </c>
      <c r="CX53" s="233">
        <v>66957</v>
      </c>
      <c r="DU53" s="181" t="s">
        <v>1199</v>
      </c>
      <c r="DV53" s="182" t="s">
        <v>1148</v>
      </c>
      <c r="DW53" s="135" t="s">
        <v>1598</v>
      </c>
      <c r="DX53" s="200">
        <f t="shared" si="13"/>
        <v>18.125</v>
      </c>
      <c r="DY53" s="135">
        <v>14.5</v>
      </c>
      <c r="ET53" s="135" t="s">
        <v>2869</v>
      </c>
      <c r="EU53" s="135" t="s">
        <v>2787</v>
      </c>
      <c r="EY53" s="135" t="s">
        <v>2648</v>
      </c>
      <c r="EZ53" s="135" t="s">
        <v>2934</v>
      </c>
      <c r="FA53" s="135" t="s">
        <v>47</v>
      </c>
      <c r="FB53" s="135" t="str">
        <f t="shared" si="7"/>
        <v>1vgVPT</v>
      </c>
      <c r="FC53" s="156">
        <f>VLOOKUP(EZ53,'Tarieven VPT'!$D$6:$I$113,6,FALSE)</f>
        <v>96.415050082640221</v>
      </c>
      <c r="FD53" s="156">
        <f t="shared" si="30"/>
        <v>674.9053505784816</v>
      </c>
    </row>
    <row r="54" spans="2:166" ht="19.5" hidden="1" thickBot="1" x14ac:dyDescent="0.35">
      <c r="B54" s="291">
        <f t="shared" si="33"/>
        <v>1</v>
      </c>
      <c r="D54" s="291">
        <f t="shared" si="32"/>
        <v>2</v>
      </c>
      <c r="E54" s="291">
        <f t="shared" si="31"/>
        <v>3</v>
      </c>
      <c r="G54" s="291">
        <f ca="1">IF(M10-E45&gt;=0,1,0)</f>
        <v>1</v>
      </c>
      <c r="I54" s="291" t="e">
        <f ca="1">IF(M8&gt;0,I53,I51)</f>
        <v>#N/A</v>
      </c>
      <c r="M54" s="113">
        <f ca="1">IF(I38+D46&gt;E45,E45-I38,M53)</f>
        <v>0</v>
      </c>
      <c r="T54" s="135">
        <v>3</v>
      </c>
      <c r="U54" s="136" t="s">
        <v>1809</v>
      </c>
      <c r="V54" s="156">
        <f ca="1">$D$111-$I$38-$I$40-$I$39-I41</f>
        <v>0</v>
      </c>
      <c r="AC54" s="150"/>
      <c r="AE54" s="161"/>
      <c r="AF54" s="159"/>
      <c r="AG54" s="159"/>
      <c r="AH54" s="151"/>
      <c r="AI54" s="150"/>
      <c r="AJ54" s="135" t="s">
        <v>2849</v>
      </c>
      <c r="AK54" s="151"/>
      <c r="AL54" s="151"/>
      <c r="AM54" s="151"/>
      <c r="AN54" s="170">
        <v>24</v>
      </c>
      <c r="AO54" s="170" t="s">
        <v>1553</v>
      </c>
      <c r="AP54" s="170"/>
      <c r="AQ54" s="170"/>
      <c r="AR54" s="170"/>
      <c r="AS54" s="170"/>
      <c r="AT54" s="170"/>
      <c r="AU54" s="170"/>
      <c r="AV54" s="170"/>
      <c r="AW54" s="170"/>
      <c r="AX54" s="165" t="s">
        <v>1639</v>
      </c>
      <c r="AY54" s="135" t="s">
        <v>399</v>
      </c>
      <c r="AZ54" s="206">
        <f>VLOOKUP(AY54,'Tarieven ZIN prestaties'!$B$1:$D$84,2,FALSE)</f>
        <v>149.02000000000001</v>
      </c>
      <c r="BA54" s="207"/>
      <c r="BD54" s="181" t="s">
        <v>1243</v>
      </c>
      <c r="BE54" s="209">
        <v>790</v>
      </c>
      <c r="BF54" s="182" t="s">
        <v>1244</v>
      </c>
      <c r="BG54" s="210">
        <f>VLOOKUP(BD54,'PGB tarieven'!$A$7:$M$53,13,FALSE)</f>
        <v>60587</v>
      </c>
      <c r="BH54" s="211">
        <f t="shared" si="29"/>
        <v>1161.9424657534246</v>
      </c>
      <c r="BI54" s="193"/>
      <c r="BJ54" s="193"/>
      <c r="BK54" s="272"/>
      <c r="BL54" s="175"/>
      <c r="BR54" s="135">
        <v>607</v>
      </c>
      <c r="BS54" s="135" t="s">
        <v>2697</v>
      </c>
      <c r="CA54" s="214"/>
      <c r="CB54" s="214"/>
      <c r="CC54" s="214"/>
      <c r="CD54" s="214"/>
      <c r="CE54" s="214"/>
      <c r="CF54" s="214"/>
      <c r="CG54" s="214"/>
      <c r="CH54" s="214"/>
      <c r="CI54" s="181" t="s">
        <v>1243</v>
      </c>
      <c r="CJ54" s="209" t="s">
        <v>1634</v>
      </c>
      <c r="CK54" s="215" t="s">
        <v>1244</v>
      </c>
      <c r="CL54" s="230" t="s">
        <v>1262</v>
      </c>
      <c r="CM54" s="231">
        <v>191</v>
      </c>
      <c r="CN54" s="232">
        <v>17176</v>
      </c>
      <c r="CO54" s="232">
        <f t="shared" si="8"/>
        <v>330.30769230769232</v>
      </c>
      <c r="CP54" s="232">
        <v>7690</v>
      </c>
      <c r="CQ54" s="232">
        <f t="shared" si="9"/>
        <v>147.88461538461539</v>
      </c>
      <c r="CR54" s="232">
        <v>16866</v>
      </c>
      <c r="CS54" s="232">
        <f t="shared" si="10"/>
        <v>324.34615384615387</v>
      </c>
      <c r="CT54" s="231">
        <v>0</v>
      </c>
      <c r="CU54" s="232">
        <f t="shared" si="11"/>
        <v>0</v>
      </c>
      <c r="CV54" s="232">
        <v>3357</v>
      </c>
      <c r="CW54" s="232">
        <v>45089</v>
      </c>
      <c r="CX54" s="233">
        <v>41732</v>
      </c>
      <c r="DU54" s="181" t="s">
        <v>1200</v>
      </c>
      <c r="DV54" s="182" t="s">
        <v>1148</v>
      </c>
      <c r="DW54" s="135" t="s">
        <v>1598</v>
      </c>
      <c r="DX54" s="200">
        <f t="shared" si="13"/>
        <v>18.125</v>
      </c>
      <c r="DY54" s="135">
        <v>14.5</v>
      </c>
      <c r="ET54" s="135" t="s">
        <v>2870</v>
      </c>
      <c r="EU54" s="135" t="s">
        <v>2788</v>
      </c>
      <c r="EY54" s="135" t="s">
        <v>2649</v>
      </c>
      <c r="EZ54" s="135" t="s">
        <v>2935</v>
      </c>
      <c r="FA54" s="135" t="s">
        <v>47</v>
      </c>
      <c r="FB54" s="135" t="str">
        <f t="shared" si="7"/>
        <v>2vgVPT</v>
      </c>
      <c r="FC54" s="156">
        <f>VLOOKUP(EZ54,'Tarieven VPT'!$D$6:$I$113,6,FALSE)</f>
        <v>107.75625777497906</v>
      </c>
      <c r="FD54" s="156">
        <f t="shared" si="30"/>
        <v>754.29380442485342</v>
      </c>
    </row>
    <row r="55" spans="2:166" ht="19.5" hidden="1" thickBot="1" x14ac:dyDescent="0.35">
      <c r="B55" s="291">
        <f t="shared" si="33"/>
        <v>1</v>
      </c>
      <c r="D55" s="291">
        <f t="shared" si="32"/>
        <v>2</v>
      </c>
      <c r="E55" s="291">
        <f t="shared" si="31"/>
        <v>3</v>
      </c>
      <c r="G55" s="291">
        <f ca="1">SUM(G53:G54)</f>
        <v>1</v>
      </c>
      <c r="I55" s="291" t="e">
        <f ca="1">IF(L62=2,I50,I54)</f>
        <v>#N/A</v>
      </c>
      <c r="M55" s="113">
        <f ca="1">IF(D46+I38&gt;E45,6,0)</f>
        <v>0</v>
      </c>
      <c r="T55" s="135">
        <v>1</v>
      </c>
      <c r="U55" s="268" t="s">
        <v>1810</v>
      </c>
      <c r="V55" s="269">
        <f ca="1">IF(W59=3,V58,IF(W59=4,U58,0))</f>
        <v>0</v>
      </c>
      <c r="Y55" s="135" t="s">
        <v>1689</v>
      </c>
      <c r="Z55" s="135">
        <f>BP12</f>
        <v>1479.9399999999998</v>
      </c>
      <c r="AA55" s="135">
        <f>IFERROR(VLOOKUP(Q23,Y55:Z56,2),0)</f>
        <v>0</v>
      </c>
      <c r="AB55" s="156">
        <f ca="1">E45-I38-I40</f>
        <v>0</v>
      </c>
      <c r="AC55" s="150"/>
      <c r="AE55" s="161"/>
      <c r="AF55" s="159"/>
      <c r="AG55" s="162"/>
      <c r="AH55" s="151"/>
      <c r="AI55" s="150"/>
      <c r="AJ55" s="135" t="s">
        <v>2850</v>
      </c>
      <c r="AK55" s="151"/>
      <c r="AL55" s="151"/>
      <c r="AM55" s="151"/>
      <c r="AN55" s="170">
        <v>25</v>
      </c>
      <c r="AO55" s="170" t="s">
        <v>1553</v>
      </c>
      <c r="AP55" s="170"/>
      <c r="AQ55" s="170"/>
      <c r="AR55" s="170"/>
      <c r="AS55" s="170"/>
      <c r="AT55" s="170"/>
      <c r="AU55" s="170"/>
      <c r="AV55" s="170"/>
      <c r="AW55" s="170"/>
      <c r="AX55" s="165" t="s">
        <v>1668</v>
      </c>
      <c r="AY55" s="135" t="s">
        <v>556</v>
      </c>
      <c r="AZ55" s="206">
        <f>VLOOKUP(AY55,'Tarieven ZIN prestaties'!$B$1:$D$84,2,FALSE)</f>
        <v>128.76</v>
      </c>
      <c r="BA55" s="207"/>
      <c r="BH55" s="233"/>
      <c r="BI55" s="193"/>
      <c r="BJ55" s="193"/>
      <c r="BK55" s="272"/>
      <c r="BL55" s="175"/>
      <c r="BR55" s="135">
        <v>608</v>
      </c>
      <c r="BS55" s="135" t="s">
        <v>2697</v>
      </c>
      <c r="CA55" s="214"/>
      <c r="CB55" s="214"/>
      <c r="CC55" s="214"/>
      <c r="CD55" s="214"/>
      <c r="CE55" s="214"/>
      <c r="CF55" s="214"/>
      <c r="CG55" s="214"/>
      <c r="CH55" s="214"/>
      <c r="CJ55" s="273"/>
      <c r="CL55" s="230" t="s">
        <v>1223</v>
      </c>
      <c r="CM55" s="231">
        <v>759</v>
      </c>
      <c r="CN55" s="232">
        <v>26894</v>
      </c>
      <c r="CO55" s="232">
        <f t="shared" si="8"/>
        <v>517.19230769230774</v>
      </c>
      <c r="CP55" s="232">
        <v>29480</v>
      </c>
      <c r="CQ55" s="232">
        <f t="shared" si="9"/>
        <v>566.92307692307691</v>
      </c>
      <c r="CR55" s="232">
        <v>16866</v>
      </c>
      <c r="CS55" s="232">
        <f t="shared" si="10"/>
        <v>324.34615384615387</v>
      </c>
      <c r="CT55" s="231">
        <v>0</v>
      </c>
      <c r="CU55" s="232">
        <f t="shared" si="11"/>
        <v>0</v>
      </c>
      <c r="CV55" s="232">
        <v>3357</v>
      </c>
      <c r="CW55" s="232">
        <v>76597</v>
      </c>
      <c r="CX55" s="233">
        <v>73240</v>
      </c>
      <c r="DU55" s="181" t="s">
        <v>1201</v>
      </c>
      <c r="DV55" s="182" t="s">
        <v>1148</v>
      </c>
      <c r="DW55" s="135" t="s">
        <v>1598</v>
      </c>
      <c r="DX55" s="200">
        <f t="shared" si="13"/>
        <v>21.875</v>
      </c>
      <c r="DY55" s="135">
        <v>17.5</v>
      </c>
      <c r="ET55" s="135" t="s">
        <v>2872</v>
      </c>
      <c r="EU55" s="135" t="s">
        <v>2954</v>
      </c>
      <c r="EY55" s="135" t="s">
        <v>2650</v>
      </c>
      <c r="EZ55" s="135" t="s">
        <v>2948</v>
      </c>
      <c r="FA55" s="135" t="s">
        <v>47</v>
      </c>
      <c r="FB55" s="135" t="str">
        <f t="shared" si="7"/>
        <v>3vgVPT</v>
      </c>
      <c r="FC55" s="156">
        <f>VLOOKUP(EZ55,'Tarieven VPT'!$D$6:$I$113,6,FALSE)</f>
        <v>154.70675128844843</v>
      </c>
      <c r="FD55" s="156">
        <f t="shared" si="30"/>
        <v>1082.947259019139</v>
      </c>
    </row>
    <row r="56" spans="2:166" ht="19.5" hidden="1" thickBot="1" x14ac:dyDescent="0.35">
      <c r="B56" s="291">
        <f t="shared" si="33"/>
        <v>1</v>
      </c>
      <c r="D56" s="291">
        <f t="shared" si="32"/>
        <v>2</v>
      </c>
      <c r="E56" s="291">
        <f t="shared" si="31"/>
        <v>3</v>
      </c>
      <c r="F56" s="291" t="e">
        <f>als</f>
        <v>#NAME?</v>
      </c>
      <c r="I56" s="291" t="e">
        <f ca="1">IF(E45-O57&gt;0,O57,I55)</f>
        <v>#N/A</v>
      </c>
      <c r="T56" s="135">
        <v>2</v>
      </c>
      <c r="U56" s="270" t="s">
        <v>1818</v>
      </c>
      <c r="V56" s="271">
        <f ca="1">IF(AB55&gt;AA55,AA55,AB55)</f>
        <v>0</v>
      </c>
      <c r="Y56" s="135" t="s">
        <v>1690</v>
      </c>
      <c r="Z56" s="135">
        <f>BP13</f>
        <v>277.83</v>
      </c>
      <c r="AC56" s="150"/>
      <c r="AE56" s="161"/>
      <c r="AF56" s="159"/>
      <c r="AH56" s="151"/>
      <c r="AI56" s="150"/>
      <c r="AJ56" s="135" t="s">
        <v>2851</v>
      </c>
      <c r="AK56" s="151"/>
      <c r="AL56" s="151"/>
      <c r="AM56" s="151"/>
      <c r="AN56" s="170"/>
      <c r="AO56" s="170"/>
      <c r="AP56" s="170"/>
      <c r="AQ56" s="170"/>
      <c r="AR56" s="170"/>
      <c r="AS56" s="170"/>
      <c r="AT56" s="170"/>
      <c r="AU56" s="170"/>
      <c r="AV56" s="170"/>
      <c r="AW56" s="170"/>
      <c r="AX56" s="165" t="s">
        <v>1751</v>
      </c>
      <c r="AY56" s="135" t="s">
        <v>409</v>
      </c>
      <c r="AZ56" s="206">
        <f>VLOOKUP(AY56,'Tarieven ZIN prestaties'!$B$1:$D$84,2,FALSE)</f>
        <v>108.62</v>
      </c>
      <c r="BA56" s="207"/>
      <c r="BH56" s="233"/>
      <c r="BI56" s="193"/>
      <c r="BJ56" s="193"/>
      <c r="BK56" s="272"/>
      <c r="BL56" s="175"/>
      <c r="BR56" s="135">
        <v>609</v>
      </c>
      <c r="BS56" s="135" t="s">
        <v>2697</v>
      </c>
      <c r="CA56" s="170"/>
      <c r="CB56" s="170"/>
      <c r="CC56" s="170"/>
      <c r="CD56" s="170"/>
      <c r="CE56" s="170"/>
      <c r="CF56" s="170"/>
      <c r="CG56" s="170"/>
      <c r="CH56" s="170"/>
      <c r="DU56" s="181" t="s">
        <v>1202</v>
      </c>
      <c r="DV56" s="182" t="s">
        <v>1148</v>
      </c>
      <c r="DW56" s="135" t="s">
        <v>1631</v>
      </c>
      <c r="DX56" s="200">
        <f t="shared" si="13"/>
        <v>28.75</v>
      </c>
      <c r="DY56" s="261">
        <v>23</v>
      </c>
      <c r="ET56" s="135" t="s">
        <v>2871</v>
      </c>
      <c r="EU56" s="135" t="s">
        <v>2789</v>
      </c>
      <c r="EY56" s="135" t="s">
        <v>2651</v>
      </c>
      <c r="EZ56" s="135" t="s">
        <v>2949</v>
      </c>
      <c r="FA56" s="135" t="s">
        <v>47</v>
      </c>
      <c r="FB56" s="135" t="str">
        <f t="shared" si="7"/>
        <v>4vgVPT</v>
      </c>
      <c r="FC56" s="156">
        <f>VLOOKUP(EZ56,'Tarieven VPT'!$D$6:$I$113,6,FALSE)</f>
        <v>179.36590562348201</v>
      </c>
      <c r="FD56" s="156">
        <f t="shared" si="30"/>
        <v>1255.5613393643741</v>
      </c>
    </row>
    <row r="57" spans="2:166" ht="19.5" hidden="1" thickBot="1" x14ac:dyDescent="0.35">
      <c r="B57" s="291">
        <f t="shared" si="33"/>
        <v>1</v>
      </c>
      <c r="D57" s="291">
        <f t="shared" si="32"/>
        <v>2</v>
      </c>
      <c r="E57" s="291">
        <f t="shared" si="31"/>
        <v>3</v>
      </c>
      <c r="G57" s="291">
        <f ca="1">IF(T19-I33&gt;=0,1,0)</f>
        <v>1</v>
      </c>
      <c r="O57" s="35">
        <f ca="1">IF(I33=0,M17,M17-M15)</f>
        <v>0</v>
      </c>
      <c r="Q57" s="35">
        <f ca="1">E45-I38</f>
        <v>0</v>
      </c>
      <c r="V57" s="274">
        <f ca="1">M10-I32</f>
        <v>0</v>
      </c>
      <c r="W57" s="142">
        <f ca="1">IF(V57&lt;1,1,2)</f>
        <v>1</v>
      </c>
      <c r="AC57" s="150"/>
      <c r="AE57" s="161"/>
      <c r="AF57" s="159"/>
      <c r="AH57" s="151"/>
      <c r="AI57" s="150"/>
      <c r="AJ57" s="135" t="s">
        <v>2852</v>
      </c>
      <c r="AK57" s="151"/>
      <c r="AL57" s="151"/>
      <c r="AM57" s="151"/>
      <c r="AN57" s="170"/>
      <c r="AO57" s="170"/>
      <c r="AP57" s="170"/>
      <c r="AQ57" s="170"/>
      <c r="AR57" s="170"/>
      <c r="AS57" s="170"/>
      <c r="AT57" s="170"/>
      <c r="AU57" s="170"/>
      <c r="AV57" s="170"/>
      <c r="AW57" s="170"/>
      <c r="AX57" s="165" t="s">
        <v>1635</v>
      </c>
      <c r="AY57" s="135" t="s">
        <v>392</v>
      </c>
      <c r="AZ57" s="206">
        <f>VLOOKUP(AY57,'Tarieven ZIN prestaties'!$B$1:$D$84,2,FALSE)</f>
        <v>106.04</v>
      </c>
      <c r="BA57" s="207"/>
      <c r="BH57" s="233"/>
      <c r="BI57" s="193"/>
      <c r="BJ57" s="193"/>
      <c r="BK57" s="272"/>
      <c r="BL57" s="175"/>
      <c r="BR57" s="135">
        <v>610</v>
      </c>
      <c r="BS57" s="135" t="s">
        <v>2697</v>
      </c>
      <c r="CA57" s="170"/>
      <c r="CB57" s="170"/>
      <c r="CC57" s="170"/>
      <c r="CD57" s="170"/>
      <c r="CE57" s="170"/>
      <c r="CF57" s="170"/>
      <c r="CG57" s="170"/>
      <c r="CH57" s="170"/>
      <c r="CI57" s="135" t="e">
        <f>VLOOKUP(G10,CI7:CK54,2,FALSE)</f>
        <v>#N/A</v>
      </c>
      <c r="DU57" s="181" t="s">
        <v>1203</v>
      </c>
      <c r="DV57" s="182" t="s">
        <v>1148</v>
      </c>
      <c r="DW57" s="135" t="s">
        <v>1631</v>
      </c>
      <c r="DX57" s="200">
        <f t="shared" si="13"/>
        <v>28.75</v>
      </c>
      <c r="DY57" s="261">
        <v>23</v>
      </c>
      <c r="ET57" s="135" t="s">
        <v>2873</v>
      </c>
      <c r="EU57" s="135" t="s">
        <v>2955</v>
      </c>
      <c r="EY57" s="135" t="s">
        <v>2652</v>
      </c>
      <c r="EZ57" s="135" t="s">
        <v>2950</v>
      </c>
      <c r="FA57" s="135" t="s">
        <v>47</v>
      </c>
      <c r="FB57" s="135" t="str">
        <f t="shared" si="7"/>
        <v>5vgVPT</v>
      </c>
      <c r="FC57" s="156">
        <f>VLOOKUP(EZ57,'Tarieven VPT'!$D$6:$I$113,6,FALSE)</f>
        <v>245.14695216184711</v>
      </c>
      <c r="FD57" s="156">
        <f t="shared" si="30"/>
        <v>1716.0286651329297</v>
      </c>
    </row>
    <row r="58" spans="2:166" ht="19.5" hidden="1" thickBot="1" x14ac:dyDescent="0.35">
      <c r="B58" s="291">
        <f t="shared" si="33"/>
        <v>1</v>
      </c>
      <c r="D58" s="291">
        <f t="shared" si="32"/>
        <v>2</v>
      </c>
      <c r="E58" s="291">
        <f t="shared" si="31"/>
        <v>3</v>
      </c>
      <c r="G58" s="291">
        <f ca="1">IF(M6-I35&lt;0,3,4)</f>
        <v>4</v>
      </c>
      <c r="T58" s="135">
        <f ca="1">IF(U58&lt;V58,U58,V58)</f>
        <v>0</v>
      </c>
      <c r="U58" s="156">
        <f ca="1">IF(U59&gt;0,U59,U60)</f>
        <v>0</v>
      </c>
      <c r="V58" s="274">
        <f ca="1">I33</f>
        <v>0</v>
      </c>
      <c r="W58" s="142">
        <f ca="1">IF(V58&lt;1,1,2)</f>
        <v>1</v>
      </c>
      <c r="AC58" s="163"/>
      <c r="AE58" s="161"/>
      <c r="AF58" s="162"/>
      <c r="AH58" s="164"/>
      <c r="AI58" s="163"/>
      <c r="AJ58" s="135" t="s">
        <v>2853</v>
      </c>
      <c r="AK58" s="164"/>
      <c r="AL58" s="164"/>
      <c r="AM58" s="164"/>
      <c r="AN58" s="170"/>
      <c r="AO58" s="170"/>
      <c r="AP58" s="170"/>
      <c r="AQ58" s="170"/>
      <c r="AR58" s="170"/>
      <c r="AS58" s="170"/>
      <c r="AT58" s="170"/>
      <c r="AU58" s="170"/>
      <c r="AV58" s="170"/>
      <c r="AW58" s="170"/>
      <c r="AX58" s="165" t="s">
        <v>1636</v>
      </c>
      <c r="AY58" s="135" t="s">
        <v>390</v>
      </c>
      <c r="AZ58" s="206">
        <f>VLOOKUP(AY58,'Tarieven ZIN prestaties'!$B$1:$D$84,2,FALSE)</f>
        <v>149.02000000000001</v>
      </c>
      <c r="BA58" s="207"/>
      <c r="BH58" s="233"/>
      <c r="BI58" s="193"/>
      <c r="BJ58" s="193"/>
      <c r="BK58" s="272"/>
      <c r="BL58" s="175"/>
      <c r="BR58" s="135">
        <v>611</v>
      </c>
      <c r="BS58" s="135" t="s">
        <v>2697</v>
      </c>
      <c r="CA58" s="170"/>
      <c r="CB58" s="170"/>
      <c r="CC58" s="170"/>
      <c r="CD58" s="170"/>
      <c r="CE58" s="170"/>
      <c r="CF58" s="170"/>
      <c r="CG58" s="170"/>
      <c r="CH58" s="170"/>
      <c r="CO58" s="135" t="s">
        <v>1624</v>
      </c>
      <c r="DU58" s="181" t="s">
        <v>1204</v>
      </c>
      <c r="DV58" s="182" t="s">
        <v>1148</v>
      </c>
      <c r="DW58" s="135" t="s">
        <v>1631</v>
      </c>
      <c r="DX58" s="200">
        <f t="shared" si="13"/>
        <v>32.5</v>
      </c>
      <c r="DY58" s="261">
        <v>26</v>
      </c>
      <c r="ET58" s="135" t="s">
        <v>2874</v>
      </c>
      <c r="EU58" s="135" t="s">
        <v>2790</v>
      </c>
      <c r="EY58" s="135" t="s">
        <v>2653</v>
      </c>
      <c r="EZ58" s="135" t="s">
        <v>2951</v>
      </c>
      <c r="FA58" s="135" t="s">
        <v>47</v>
      </c>
      <c r="FB58" s="135" t="str">
        <f t="shared" si="7"/>
        <v>6vgVPT</v>
      </c>
      <c r="FC58" s="156">
        <f>VLOOKUP(EZ58,'Tarieven VPT'!$D$6:$I$113,6,FALSE)</f>
        <v>208.75965302995925</v>
      </c>
      <c r="FD58" s="156">
        <f t="shared" si="30"/>
        <v>1461.3175712097147</v>
      </c>
    </row>
    <row r="59" spans="2:166" ht="19.5" hidden="1" thickBot="1" x14ac:dyDescent="0.35">
      <c r="B59" s="291">
        <f t="shared" si="33"/>
        <v>1</v>
      </c>
      <c r="D59" s="291">
        <f t="shared" si="32"/>
        <v>2</v>
      </c>
      <c r="E59" s="291">
        <f t="shared" si="31"/>
        <v>3</v>
      </c>
      <c r="G59" s="291">
        <f ca="1">G58+G57</f>
        <v>5</v>
      </c>
      <c r="U59" s="156">
        <f ca="1">$M$17-($I$32+$I$33)</f>
        <v>0</v>
      </c>
      <c r="V59" s="142"/>
      <c r="W59" s="142">
        <f ca="1">SUM(W57:W58)</f>
        <v>2</v>
      </c>
      <c r="AJ59" s="135" t="s">
        <v>2854</v>
      </c>
      <c r="AX59" s="165" t="s">
        <v>1637</v>
      </c>
      <c r="AY59" s="135" t="s">
        <v>401</v>
      </c>
      <c r="AZ59" s="206">
        <f>VLOOKUP(AY59,'Tarieven ZIN prestaties'!$B$1:$D$84,2,FALSE)</f>
        <v>177.37</v>
      </c>
      <c r="BA59" s="207"/>
      <c r="BH59" s="233"/>
      <c r="BI59" s="193"/>
      <c r="BJ59" s="193"/>
      <c r="BK59" s="272"/>
      <c r="BL59" s="175"/>
      <c r="BR59" s="135">
        <v>612</v>
      </c>
      <c r="BS59" s="135" t="s">
        <v>2697</v>
      </c>
      <c r="CL59" s="135" t="s">
        <v>1253</v>
      </c>
      <c r="CM59" s="156" t="e">
        <f>VLOOKUP($G$10,$CL$8:$CW$55,4,FALSE)</f>
        <v>#N/A</v>
      </c>
      <c r="CO59" s="156">
        <f>IFERROR(VLOOKUP(#REF!,$CL$59:$CM$62,2,FALSE),0)</f>
        <v>0</v>
      </c>
      <c r="CP59" s="156">
        <f>IFERROR(VLOOKUP(H12,$CL$59:$CM$62,2,FALSE),0)</f>
        <v>0</v>
      </c>
      <c r="CQ59" s="156">
        <f>IFERROR(VLOOKUP(I14,$CL$59:$CM$62,2,FALSE),0)</f>
        <v>0</v>
      </c>
      <c r="CR59" s="156">
        <f>IFERROR(VLOOKUP(J14,$CL$59:$CM$62,2,FALSE),0)</f>
        <v>0</v>
      </c>
      <c r="CS59" s="156"/>
      <c r="DU59" s="181" t="s">
        <v>1209</v>
      </c>
      <c r="DV59" s="182" t="s">
        <v>1148</v>
      </c>
      <c r="DW59" s="135" t="s">
        <v>1598</v>
      </c>
      <c r="DX59" s="200">
        <f t="shared" si="13"/>
        <v>8.125</v>
      </c>
      <c r="DY59" s="135">
        <v>6.5</v>
      </c>
      <c r="ET59" s="135" t="s">
        <v>2879</v>
      </c>
      <c r="EU59" s="135" t="s">
        <v>2956</v>
      </c>
      <c r="EY59" s="135" t="s">
        <v>2654</v>
      </c>
      <c r="EZ59" s="135" t="s">
        <v>2952</v>
      </c>
      <c r="FA59" s="135" t="s">
        <v>47</v>
      </c>
      <c r="FB59" s="135" t="str">
        <f t="shared" si="7"/>
        <v>7vgVPT</v>
      </c>
      <c r="FC59" s="156">
        <f>VLOOKUP(EZ59,'Tarieven VPT'!$D$6:$I$113,6,FALSE)</f>
        <v>238.35903833245359</v>
      </c>
      <c r="FD59" s="156">
        <f t="shared" si="30"/>
        <v>1668.5132683271752</v>
      </c>
    </row>
    <row r="60" spans="2:166" ht="19.5" hidden="1" thickBot="1" x14ac:dyDescent="0.35">
      <c r="B60" s="291">
        <f t="shared" si="33"/>
        <v>1</v>
      </c>
      <c r="D60" s="291">
        <f t="shared" si="32"/>
        <v>2</v>
      </c>
      <c r="E60" s="291">
        <f t="shared" si="31"/>
        <v>3</v>
      </c>
      <c r="G60" s="291">
        <f ca="1">IF(G59=4,I45,I44)</f>
        <v>0</v>
      </c>
      <c r="J60" s="291" t="s">
        <v>2755</v>
      </c>
      <c r="L60" s="113">
        <f ca="1">IF(I32=0,1,0)</f>
        <v>1</v>
      </c>
      <c r="U60" s="156">
        <f ca="1">($I$32+$I$33)-M17</f>
        <v>0</v>
      </c>
      <c r="AJ60" s="135" t="s">
        <v>2855</v>
      </c>
      <c r="AX60" s="165" t="s">
        <v>1752</v>
      </c>
      <c r="AY60" s="135" t="s">
        <v>540</v>
      </c>
      <c r="AZ60" s="206">
        <f>VLOOKUP(AY60,'Tarieven ZIN prestaties'!$B$1:$D$84,2,FALSE)</f>
        <v>53.36</v>
      </c>
      <c r="BA60" s="207"/>
      <c r="BH60" s="233"/>
      <c r="BI60" s="193"/>
      <c r="BJ60" s="193"/>
      <c r="BK60" s="272"/>
      <c r="BL60" s="175"/>
      <c r="BR60" s="135">
        <v>613</v>
      </c>
      <c r="BS60" s="135" t="s">
        <v>2697</v>
      </c>
      <c r="CI60" s="135" t="s">
        <v>1633</v>
      </c>
      <c r="CJ60" s="135" t="s">
        <v>1634</v>
      </c>
      <c r="CL60" s="135" t="s">
        <v>1255</v>
      </c>
      <c r="CM60" s="156" t="e">
        <f>VLOOKUP($G$10,$CL$8:$CW$55,6,FALSE)</f>
        <v>#N/A</v>
      </c>
      <c r="CO60" s="156">
        <f t="shared" ref="CO60:CR62" si="34">IFERROR(VLOOKUP(G16,$CL$59:$CM$62,2,FALSE),0)</f>
        <v>0</v>
      </c>
      <c r="CP60" s="156">
        <f t="shared" si="34"/>
        <v>0</v>
      </c>
      <c r="CQ60" s="156">
        <f t="shared" si="34"/>
        <v>0</v>
      </c>
      <c r="CR60" s="156">
        <f t="shared" si="34"/>
        <v>0</v>
      </c>
      <c r="CS60" s="156"/>
      <c r="DU60" s="181" t="s">
        <v>1210</v>
      </c>
      <c r="DV60" s="182" t="s">
        <v>1148</v>
      </c>
      <c r="DW60" s="135" t="s">
        <v>1598</v>
      </c>
      <c r="DX60" s="200">
        <f t="shared" si="13"/>
        <v>14.375</v>
      </c>
      <c r="DY60" s="135">
        <v>11.5</v>
      </c>
      <c r="ET60" s="135" t="s">
        <v>2884</v>
      </c>
      <c r="EU60" s="135" t="s">
        <v>2961</v>
      </c>
      <c r="EY60" s="135" t="s">
        <v>2655</v>
      </c>
      <c r="EZ60" s="135" t="s">
        <v>2953</v>
      </c>
      <c r="FA60" s="135" t="s">
        <v>47</v>
      </c>
      <c r="FB60" s="135" t="str">
        <f t="shared" si="7"/>
        <v>8vgVPT</v>
      </c>
      <c r="FC60" s="156">
        <f>VLOOKUP(EZ60,'Tarieven VPT'!$D$6:$I$113,6,FALSE)</f>
        <v>302.03622393979742</v>
      </c>
      <c r="FD60" s="156">
        <f t="shared" si="30"/>
        <v>2114.2535675785821</v>
      </c>
    </row>
    <row r="61" spans="2:166" ht="19.5" hidden="1" thickBot="1" x14ac:dyDescent="0.35">
      <c r="B61" s="291">
        <f t="shared" si="33"/>
        <v>1</v>
      </c>
      <c r="D61" s="291">
        <f t="shared" si="32"/>
        <v>2</v>
      </c>
      <c r="E61" s="291">
        <f t="shared" si="31"/>
        <v>3</v>
      </c>
      <c r="J61" s="291" t="s">
        <v>2756</v>
      </c>
      <c r="L61" s="113">
        <f ca="1">IF($T$19-$I$33&gt;0,1,0)</f>
        <v>0</v>
      </c>
      <c r="AJ61" s="135" t="s">
        <v>2856</v>
      </c>
      <c r="AX61" s="165" t="s">
        <v>1753</v>
      </c>
      <c r="AY61" s="135" t="s">
        <v>492</v>
      </c>
      <c r="AZ61" s="206">
        <f>VLOOKUP(AY61,'Tarieven ZIN prestaties'!$B$1:$D$84,2,FALSE)</f>
        <v>62.59</v>
      </c>
      <c r="BA61" s="207"/>
      <c r="BH61" s="233"/>
      <c r="BI61" s="193"/>
      <c r="BJ61" s="193"/>
      <c r="BK61" s="272"/>
      <c r="BL61" s="175"/>
      <c r="BR61" s="135">
        <v>614</v>
      </c>
      <c r="BS61" s="135" t="s">
        <v>2697</v>
      </c>
      <c r="CI61" s="135" t="s">
        <v>1631</v>
      </c>
      <c r="CJ61" s="135" t="s">
        <v>1554</v>
      </c>
      <c r="CL61" s="135" t="s">
        <v>1542</v>
      </c>
      <c r="CM61" s="156" t="e">
        <f>VLOOKUP($G$10,$CL$8:$CW$55,8,FALSE)</f>
        <v>#N/A</v>
      </c>
      <c r="CO61" s="156">
        <f t="shared" si="34"/>
        <v>0</v>
      </c>
      <c r="CP61" s="156">
        <f t="shared" si="34"/>
        <v>0</v>
      </c>
      <c r="CQ61" s="156">
        <f t="shared" si="34"/>
        <v>0</v>
      </c>
      <c r="CR61" s="156">
        <f t="shared" si="34"/>
        <v>0</v>
      </c>
      <c r="CS61" s="156"/>
      <c r="DU61" s="181" t="s">
        <v>1211</v>
      </c>
      <c r="DV61" s="182" t="s">
        <v>1148</v>
      </c>
      <c r="DW61" s="135" t="s">
        <v>1598</v>
      </c>
      <c r="DX61" s="200">
        <f t="shared" si="13"/>
        <v>20</v>
      </c>
      <c r="DY61" s="135">
        <v>16</v>
      </c>
      <c r="ET61" s="135" t="s">
        <v>2889</v>
      </c>
      <c r="EU61" s="135" t="s">
        <v>2966</v>
      </c>
      <c r="EY61" s="135" t="s">
        <v>2691</v>
      </c>
      <c r="EZ61" s="135" t="s">
        <v>2782</v>
      </c>
      <c r="FA61" s="135" t="s">
        <v>47</v>
      </c>
      <c r="FB61" s="135" t="str">
        <f t="shared" si="7"/>
        <v>1lvgVPT</v>
      </c>
      <c r="FC61" s="156">
        <f>VLOOKUP(EZ61,'Tarieven VPT'!$D$6:$I$113,6,FALSE)</f>
        <v>181.71156252222264</v>
      </c>
      <c r="FD61" s="156">
        <f t="shared" si="30"/>
        <v>1271.9809376555584</v>
      </c>
    </row>
    <row r="62" spans="2:166" ht="19.5" hidden="1" thickBot="1" x14ac:dyDescent="0.35">
      <c r="B62" s="291">
        <f t="shared" si="33"/>
        <v>1</v>
      </c>
      <c r="D62" s="291">
        <f t="shared" si="32"/>
        <v>2</v>
      </c>
      <c r="E62" s="291">
        <f t="shared" si="31"/>
        <v>3</v>
      </c>
      <c r="L62" s="113">
        <f ca="1">SUM(L60:L61)</f>
        <v>1</v>
      </c>
      <c r="AJ62" s="135" t="s">
        <v>2857</v>
      </c>
      <c r="AX62" s="165" t="s">
        <v>1754</v>
      </c>
      <c r="AY62" s="135" t="s">
        <v>518</v>
      </c>
      <c r="AZ62" s="206">
        <f>VLOOKUP(AY62,'Tarieven ZIN prestaties'!$B$1:$D$84,2,FALSE)</f>
        <v>68.64</v>
      </c>
      <c r="BA62" s="207"/>
      <c r="BH62" s="233"/>
      <c r="BI62" s="193"/>
      <c r="BJ62" s="193"/>
      <c r="BK62" s="272"/>
      <c r="BL62" s="175"/>
      <c r="BR62" s="135">
        <v>615</v>
      </c>
      <c r="BS62" s="135" t="s">
        <v>2697</v>
      </c>
      <c r="CI62" s="135" t="s">
        <v>1598</v>
      </c>
      <c r="CL62" s="135" t="s">
        <v>1543</v>
      </c>
      <c r="CM62" s="156" t="e">
        <f>VLOOKUP($G$10,$CL$8:$CW$55,10,FALSE)</f>
        <v>#N/A</v>
      </c>
      <c r="CO62" s="156">
        <f t="shared" si="34"/>
        <v>0</v>
      </c>
      <c r="CP62" s="156">
        <f t="shared" si="34"/>
        <v>0</v>
      </c>
      <c r="CQ62" s="156">
        <f t="shared" si="34"/>
        <v>0</v>
      </c>
      <c r="CR62" s="156">
        <f t="shared" si="34"/>
        <v>0</v>
      </c>
      <c r="CS62" s="156"/>
      <c r="DU62" s="181" t="s">
        <v>1212</v>
      </c>
      <c r="DV62" s="182" t="s">
        <v>1148</v>
      </c>
      <c r="DW62" s="135" t="s">
        <v>1598</v>
      </c>
      <c r="DX62" s="200">
        <f t="shared" si="13"/>
        <v>28.75</v>
      </c>
      <c r="DY62" s="135">
        <v>23</v>
      </c>
      <c r="ET62" s="135" t="s">
        <v>2875</v>
      </c>
      <c r="EU62" s="135" t="s">
        <v>2791</v>
      </c>
      <c r="EY62" s="135" t="s">
        <v>2692</v>
      </c>
      <c r="EZ62" s="135" t="s">
        <v>2783</v>
      </c>
      <c r="FA62" s="135" t="s">
        <v>47</v>
      </c>
      <c r="FB62" s="135" t="str">
        <f t="shared" si="7"/>
        <v>2lvgVPT</v>
      </c>
      <c r="FC62" s="156">
        <f>VLOOKUP(EZ62,'Tarieven VPT'!$D$6:$I$113,6,FALSE)</f>
        <v>223.02982540497803</v>
      </c>
      <c r="FD62" s="156">
        <f t="shared" si="30"/>
        <v>1561.2087778348462</v>
      </c>
    </row>
    <row r="63" spans="2:166" ht="19.5" hidden="1" thickBot="1" x14ac:dyDescent="0.35">
      <c r="B63" s="291">
        <f t="shared" si="33"/>
        <v>1</v>
      </c>
      <c r="D63" s="291">
        <f t="shared" si="32"/>
        <v>2</v>
      </c>
      <c r="N63" s="113">
        <f ca="1">IF(I33&gt;P65,P65,I33)</f>
        <v>0</v>
      </c>
      <c r="AJ63" s="135" t="s">
        <v>2858</v>
      </c>
      <c r="AX63" s="165" t="s">
        <v>1755</v>
      </c>
      <c r="AY63" s="135" t="s">
        <v>560</v>
      </c>
      <c r="AZ63" s="206">
        <f>VLOOKUP(AY63,'Tarieven ZIN prestaties'!$B$1:$D$84,2,FALSE)</f>
        <v>76.47</v>
      </c>
      <c r="BA63" s="207"/>
      <c r="BH63" s="233"/>
      <c r="BI63" s="193"/>
      <c r="BJ63" s="193"/>
      <c r="BK63" s="272"/>
      <c r="BL63" s="175"/>
      <c r="BR63" s="135">
        <v>616</v>
      </c>
      <c r="BS63" s="135" t="s">
        <v>2697</v>
      </c>
      <c r="CO63" s="156"/>
      <c r="CP63" s="156"/>
      <c r="CQ63" s="156"/>
      <c r="CR63" s="156"/>
      <c r="CS63" s="156"/>
      <c r="DU63" s="181" t="s">
        <v>1213</v>
      </c>
      <c r="DV63" s="182" t="s">
        <v>1148</v>
      </c>
      <c r="DW63" s="135" t="s">
        <v>1631</v>
      </c>
      <c r="DX63" s="200">
        <f t="shared" si="13"/>
        <v>32.5</v>
      </c>
      <c r="DY63" s="275">
        <v>26</v>
      </c>
      <c r="ET63" s="135" t="s">
        <v>2880</v>
      </c>
      <c r="EU63" s="135" t="s">
        <v>2957</v>
      </c>
      <c r="EY63" s="135" t="s">
        <v>2693</v>
      </c>
      <c r="EZ63" s="135" t="s">
        <v>2784</v>
      </c>
      <c r="FA63" s="135" t="s">
        <v>47</v>
      </c>
      <c r="FB63" s="135" t="str">
        <f t="shared" si="7"/>
        <v>3lvgVPT</v>
      </c>
      <c r="FC63" s="156">
        <f>VLOOKUP(EZ63,'Tarieven VPT'!$D$6:$I$113,6,FALSE)</f>
        <v>288.0679873296308</v>
      </c>
      <c r="FD63" s="156">
        <f t="shared" si="30"/>
        <v>2016.4759113074156</v>
      </c>
    </row>
    <row r="64" spans="2:166" ht="19.5" hidden="1" thickBot="1" x14ac:dyDescent="0.35">
      <c r="B64" s="291">
        <f t="shared" si="33"/>
        <v>1</v>
      </c>
      <c r="D64" s="291">
        <f>IF(E19="",1,0)</f>
        <v>1</v>
      </c>
      <c r="N64" s="113">
        <f ca="1">IF(AND(I40=0,I33&gt;1),I33,0)</f>
        <v>0</v>
      </c>
      <c r="P64" s="35"/>
      <c r="AJ64" s="135" t="s">
        <v>2859</v>
      </c>
      <c r="AX64" s="165" t="s">
        <v>1756</v>
      </c>
      <c r="AY64" s="135" t="s">
        <v>510</v>
      </c>
      <c r="AZ64" s="206">
        <f>VLOOKUP(AY64,'Tarieven ZIN prestaties'!$B$1:$D$84,2,FALSE)</f>
        <v>88.62</v>
      </c>
      <c r="BA64" s="207"/>
      <c r="BH64" s="233"/>
      <c r="BI64" s="193"/>
      <c r="BJ64" s="193"/>
      <c r="BK64" s="272"/>
      <c r="BL64" s="175"/>
      <c r="BR64" s="135">
        <v>617</v>
      </c>
      <c r="BS64" s="135" t="s">
        <v>2697</v>
      </c>
      <c r="DU64" s="181" t="s">
        <v>1205</v>
      </c>
      <c r="DV64" s="182" t="s">
        <v>1148</v>
      </c>
      <c r="DW64" s="135" t="s">
        <v>1598</v>
      </c>
      <c r="DX64" s="200">
        <f t="shared" si="13"/>
        <v>15.625</v>
      </c>
      <c r="DY64" s="135">
        <v>12.5</v>
      </c>
      <c r="ET64" s="135" t="s">
        <v>2885</v>
      </c>
      <c r="EU64" s="135" t="s">
        <v>2962</v>
      </c>
      <c r="EY64" s="135" t="s">
        <v>2694</v>
      </c>
      <c r="EZ64" s="135" t="s">
        <v>2785</v>
      </c>
      <c r="FA64" s="135" t="s">
        <v>47</v>
      </c>
      <c r="FB64" s="135" t="str">
        <f t="shared" si="7"/>
        <v>4lvgVPT</v>
      </c>
      <c r="FC64" s="156">
        <f>VLOOKUP(EZ64,'Tarieven VPT'!$D$6:$I$113,6,FALSE)</f>
        <v>336.20734898974183</v>
      </c>
      <c r="FD64" s="156">
        <f t="shared" si="30"/>
        <v>2353.4514429281926</v>
      </c>
    </row>
    <row r="65" spans="2:160" ht="19.5" hidden="1" thickBot="1" x14ac:dyDescent="0.35">
      <c r="B65" s="291">
        <f>IF(E18="",1,0)</f>
        <v>1</v>
      </c>
      <c r="H65" s="296"/>
      <c r="P65" s="35">
        <f ca="1">IF($T$19-$I$33&gt;0,$I$33,$T$19)</f>
        <v>0</v>
      </c>
      <c r="AJ65" s="135" t="s">
        <v>2860</v>
      </c>
      <c r="AX65" s="165" t="s">
        <v>1757</v>
      </c>
      <c r="AY65" s="135" t="s">
        <v>554</v>
      </c>
      <c r="AZ65" s="206">
        <f>VLOOKUP(AY65,'Tarieven ZIN prestaties'!$B$1:$D$84,2,FALSE)</f>
        <v>106.72</v>
      </c>
      <c r="BA65" s="207"/>
      <c r="BH65" s="233"/>
      <c r="BI65" s="193"/>
      <c r="BJ65" s="193"/>
      <c r="BK65" s="272"/>
      <c r="BL65" s="175"/>
      <c r="BR65" s="135">
        <v>618</v>
      </c>
      <c r="BS65" s="135" t="s">
        <v>2697</v>
      </c>
      <c r="DU65" s="181" t="s">
        <v>1206</v>
      </c>
      <c r="DV65" s="182" t="s">
        <v>1148</v>
      </c>
      <c r="DW65" s="135" t="s">
        <v>1598</v>
      </c>
      <c r="DX65" s="200">
        <f t="shared" si="13"/>
        <v>36.875</v>
      </c>
      <c r="DY65" s="135">
        <v>29.5</v>
      </c>
      <c r="ET65" s="135" t="s">
        <v>2890</v>
      </c>
      <c r="EU65" s="135" t="s">
        <v>2967</v>
      </c>
      <c r="EY65" s="135" t="s">
        <v>2695</v>
      </c>
      <c r="EZ65" s="135" t="s">
        <v>2786</v>
      </c>
      <c r="FA65" s="135" t="s">
        <v>47</v>
      </c>
      <c r="FB65" s="135" t="str">
        <f t="shared" si="7"/>
        <v>5lvgVPT</v>
      </c>
      <c r="FC65" s="156">
        <f>VLOOKUP(EZ65,'Tarieven VPT'!$D$6:$I$113,6,FALSE)</f>
        <v>318.4879602792123</v>
      </c>
      <c r="FD65" s="156">
        <f t="shared" si="30"/>
        <v>2229.4157219544859</v>
      </c>
    </row>
    <row r="66" spans="2:160" ht="19.5" hidden="1" thickBot="1" x14ac:dyDescent="0.35">
      <c r="H66" s="296"/>
      <c r="N66" s="113">
        <f ca="1">IF(N65=2,N64,N63)</f>
        <v>0</v>
      </c>
      <c r="AJ66" s="135" t="s">
        <v>2861</v>
      </c>
      <c r="AX66" s="165" t="s">
        <v>1640</v>
      </c>
      <c r="AY66" s="135" t="s">
        <v>405</v>
      </c>
      <c r="AZ66" s="206">
        <f>VLOOKUP(AY66,'Tarieven ZIN prestaties'!$B$1:$D$84,2,FALSE)</f>
        <v>78.67</v>
      </c>
      <c r="BA66" s="207"/>
      <c r="BH66" s="233"/>
      <c r="BI66" s="193"/>
      <c r="BJ66" s="193"/>
      <c r="BK66" s="272"/>
      <c r="BL66" s="175"/>
      <c r="BR66" s="135">
        <v>619</v>
      </c>
      <c r="BS66" s="135" t="s">
        <v>2697</v>
      </c>
      <c r="DU66" s="181" t="s">
        <v>1207</v>
      </c>
      <c r="DV66" s="182" t="s">
        <v>1148</v>
      </c>
      <c r="DW66" s="135" t="s">
        <v>1631</v>
      </c>
      <c r="DX66" s="200">
        <f t="shared" si="13"/>
        <v>43.75</v>
      </c>
      <c r="DY66" s="275">
        <v>35</v>
      </c>
      <c r="ET66" s="135" t="s">
        <v>2876</v>
      </c>
      <c r="EU66" s="135" t="s">
        <v>2792</v>
      </c>
      <c r="EY66" s="135" t="s">
        <v>2673</v>
      </c>
      <c r="EZ66" s="135" t="s">
        <v>2787</v>
      </c>
      <c r="FA66" s="135" t="s">
        <v>47</v>
      </c>
      <c r="FB66" s="135" t="str">
        <f t="shared" si="7"/>
        <v>1sglvgVPT</v>
      </c>
      <c r="FC66" s="156">
        <f>VLOOKUP(EZ66,'Tarieven VPT'!$D$6:$I$113,6,FALSE)</f>
        <v>348.95</v>
      </c>
      <c r="FD66" s="156">
        <f t="shared" si="30"/>
        <v>2442.65</v>
      </c>
    </row>
    <row r="67" spans="2:160" ht="19.5" hidden="1" thickBot="1" x14ac:dyDescent="0.35">
      <c r="B67" s="291">
        <f t="shared" ref="B67:B76" si="35">IF($E$21=E22,4,0)</f>
        <v>4</v>
      </c>
      <c r="C67" s="291">
        <f t="shared" ref="C67:C75" si="36">IF($E$22=E23,5,0)</f>
        <v>5</v>
      </c>
      <c r="D67" s="291">
        <f t="shared" ref="D67:D74" si="37">IF($E$23=E24,6,0)</f>
        <v>6</v>
      </c>
      <c r="E67" s="291">
        <f t="shared" ref="E67:E73" si="38">IF($E$24=E25,7,0)</f>
        <v>7</v>
      </c>
      <c r="H67" s="296"/>
      <c r="N67" s="113">
        <f ca="1">IF(N66&gt;P65,P65,N66)</f>
        <v>0</v>
      </c>
      <c r="AJ67" s="135" t="s">
        <v>2862</v>
      </c>
      <c r="AX67" s="165" t="s">
        <v>1641</v>
      </c>
      <c r="AY67" s="135" t="s">
        <v>417</v>
      </c>
      <c r="AZ67" s="206">
        <f>VLOOKUP(AY67,'Tarieven ZIN prestaties'!$B$1:$D$84,2,FALSE)</f>
        <v>85.81</v>
      </c>
      <c r="BA67" s="207"/>
      <c r="BH67" s="233"/>
      <c r="BI67" s="193"/>
      <c r="BJ67" s="193"/>
      <c r="BK67" s="272"/>
      <c r="BL67" s="175"/>
      <c r="BR67" s="135">
        <v>620</v>
      </c>
      <c r="BS67" s="135" t="s">
        <v>2697</v>
      </c>
      <c r="DU67" s="181" t="s">
        <v>1208</v>
      </c>
      <c r="DV67" s="182" t="s">
        <v>1148</v>
      </c>
      <c r="DW67" s="135" t="s">
        <v>1598</v>
      </c>
      <c r="DX67" s="200">
        <f t="shared" si="13"/>
        <v>26.25</v>
      </c>
      <c r="DY67" s="135">
        <v>21</v>
      </c>
      <c r="ET67" s="135" t="s">
        <v>2881</v>
      </c>
      <c r="EU67" s="135" t="s">
        <v>2958</v>
      </c>
      <c r="EY67" s="135" t="s">
        <v>2666</v>
      </c>
      <c r="EZ67" s="135" t="s">
        <v>2954</v>
      </c>
      <c r="FA67" s="135" t="s">
        <v>47</v>
      </c>
      <c r="FB67" s="135" t="str">
        <f t="shared" si="7"/>
        <v>1lgVPT</v>
      </c>
      <c r="FC67" s="156">
        <f>VLOOKUP(EZ67,'Tarieven VPT'!$D$6:$I$113,6,FALSE)</f>
        <v>137.48513266821516</v>
      </c>
      <c r="FD67" s="156">
        <f t="shared" si="30"/>
        <v>962.39592867750616</v>
      </c>
    </row>
    <row r="68" spans="2:160" ht="19.5" hidden="1" thickBot="1" x14ac:dyDescent="0.35">
      <c r="B68" s="291">
        <f t="shared" si="35"/>
        <v>4</v>
      </c>
      <c r="C68" s="291">
        <f t="shared" si="36"/>
        <v>5</v>
      </c>
      <c r="D68" s="291">
        <f t="shared" si="37"/>
        <v>6</v>
      </c>
      <c r="E68" s="291">
        <f t="shared" si="38"/>
        <v>7</v>
      </c>
      <c r="H68" s="296"/>
      <c r="AJ68" s="135" t="s">
        <v>2863</v>
      </c>
      <c r="AX68" s="165" t="s">
        <v>1642</v>
      </c>
      <c r="AY68" s="135" t="s">
        <v>407</v>
      </c>
      <c r="AZ68" s="206">
        <f>VLOOKUP(AY68,'Tarieven ZIN prestaties'!$B$1:$D$84,2,FALSE)</f>
        <v>90.2</v>
      </c>
      <c r="BA68" s="207"/>
      <c r="BH68" s="233"/>
      <c r="BI68" s="193"/>
      <c r="BJ68" s="193"/>
      <c r="BK68" s="272"/>
      <c r="BL68" s="175"/>
      <c r="BR68" s="135">
        <v>621</v>
      </c>
      <c r="BS68" s="135" t="s">
        <v>2697</v>
      </c>
      <c r="DU68" s="181" t="s">
        <v>1223</v>
      </c>
      <c r="DV68" s="182" t="s">
        <v>1244</v>
      </c>
      <c r="DW68" s="135" t="s">
        <v>1598</v>
      </c>
      <c r="DX68" s="200">
        <f t="shared" si="13"/>
        <v>35.625</v>
      </c>
      <c r="DY68" s="135">
        <v>28.5</v>
      </c>
      <c r="ET68" s="135" t="s">
        <v>2886</v>
      </c>
      <c r="EU68" s="135" t="s">
        <v>2963</v>
      </c>
      <c r="EY68" s="135" t="s">
        <v>2667</v>
      </c>
      <c r="EZ68" s="135" t="s">
        <v>2955</v>
      </c>
      <c r="FA68" s="135" t="s">
        <v>47</v>
      </c>
      <c r="FB68" s="135" t="str">
        <f t="shared" si="7"/>
        <v>2lgVPT</v>
      </c>
      <c r="FC68" s="156">
        <f>VLOOKUP(EZ68,'Tarieven VPT'!$D$6:$I$113,6,FALSE)</f>
        <v>163.83821857130852</v>
      </c>
      <c r="FD68" s="156">
        <f t="shared" si="30"/>
        <v>1146.8675299991596</v>
      </c>
    </row>
    <row r="69" spans="2:160" ht="19.5" hidden="1" thickBot="1" x14ac:dyDescent="0.35">
      <c r="B69" s="291">
        <f t="shared" si="35"/>
        <v>4</v>
      </c>
      <c r="C69" s="291">
        <f t="shared" si="36"/>
        <v>5</v>
      </c>
      <c r="D69" s="291">
        <f t="shared" si="37"/>
        <v>6</v>
      </c>
      <c r="E69" s="291">
        <f t="shared" si="38"/>
        <v>7</v>
      </c>
      <c r="H69" s="296">
        <f ca="1">I32+I33</f>
        <v>0</v>
      </c>
      <c r="AJ69" s="135" t="s">
        <v>1164</v>
      </c>
      <c r="AX69" s="165" t="s">
        <v>1758</v>
      </c>
      <c r="AY69" s="135" t="s">
        <v>542</v>
      </c>
      <c r="AZ69" s="206">
        <f>VLOOKUP(AY69,'Tarieven ZIN prestaties'!$B$1:$D$84,2,FALSE)</f>
        <v>53.52</v>
      </c>
      <c r="BA69" s="207"/>
      <c r="BH69" s="233"/>
      <c r="BI69" s="193"/>
      <c r="BJ69" s="193"/>
      <c r="BK69" s="272"/>
      <c r="BL69" s="175"/>
      <c r="BR69" s="135">
        <v>622</v>
      </c>
      <c r="BS69" s="135" t="s">
        <v>2697</v>
      </c>
      <c r="DU69" s="181" t="s">
        <v>1214</v>
      </c>
      <c r="DV69" s="182" t="s">
        <v>1244</v>
      </c>
      <c r="DW69" s="135" t="s">
        <v>1598</v>
      </c>
      <c r="DX69" s="200">
        <f t="shared" si="13"/>
        <v>5.625</v>
      </c>
      <c r="DY69" s="135">
        <v>4.5</v>
      </c>
      <c r="ET69" s="135" t="s">
        <v>2891</v>
      </c>
      <c r="EU69" s="135" t="s">
        <v>2968</v>
      </c>
      <c r="EY69" s="135" t="s">
        <v>2668</v>
      </c>
      <c r="EZ69" s="135" t="s">
        <v>2966</v>
      </c>
      <c r="FA69" s="135" t="s">
        <v>47</v>
      </c>
      <c r="FB69" s="135" t="str">
        <f t="shared" si="7"/>
        <v>3lgVPT</v>
      </c>
      <c r="FC69" s="156">
        <f>VLOOKUP(EZ69,'Tarieven VPT'!$D$6:$I$113,6,FALSE)</f>
        <v>170.01794389718569</v>
      </c>
      <c r="FD69" s="156">
        <f t="shared" si="30"/>
        <v>1190.1256072802998</v>
      </c>
    </row>
    <row r="70" spans="2:160" ht="19.5" hidden="1" thickBot="1" x14ac:dyDescent="0.35">
      <c r="B70" s="291">
        <f t="shared" si="35"/>
        <v>4</v>
      </c>
      <c r="C70" s="291">
        <f t="shared" si="36"/>
        <v>5</v>
      </c>
      <c r="D70" s="291">
        <f t="shared" si="37"/>
        <v>6</v>
      </c>
      <c r="E70" s="291">
        <f t="shared" si="38"/>
        <v>7</v>
      </c>
      <c r="H70" s="296">
        <f ca="1">IF(H69&gt;M6-M8,1,2)</f>
        <v>2</v>
      </c>
      <c r="AJ70" s="135" t="s">
        <v>2864</v>
      </c>
      <c r="AX70" s="165" t="s">
        <v>1759</v>
      </c>
      <c r="AY70" s="135" t="s">
        <v>532</v>
      </c>
      <c r="AZ70" s="206">
        <f>VLOOKUP(AY70,'Tarieven ZIN prestaties'!$B$1:$D$84,2,FALSE)</f>
        <v>64.430000000000007</v>
      </c>
      <c r="BA70" s="207"/>
      <c r="BH70" s="233"/>
      <c r="BI70" s="193"/>
      <c r="BJ70" s="193"/>
      <c r="BK70" s="272"/>
      <c r="BL70" s="175"/>
      <c r="BR70" s="135">
        <v>623</v>
      </c>
      <c r="BS70" s="135" t="s">
        <v>2697</v>
      </c>
      <c r="DU70" s="181" t="s">
        <v>1215</v>
      </c>
      <c r="DV70" s="182" t="s">
        <v>1244</v>
      </c>
      <c r="DW70" s="135" t="s">
        <v>1598</v>
      </c>
      <c r="DX70" s="200">
        <f t="shared" si="13"/>
        <v>8.75</v>
      </c>
      <c r="DY70" s="135">
        <v>7</v>
      </c>
      <c r="ET70" s="135" t="s">
        <v>2877</v>
      </c>
      <c r="EU70" s="135" t="s">
        <v>2793</v>
      </c>
      <c r="EY70" s="135" t="s">
        <v>2669</v>
      </c>
      <c r="EZ70" s="135" t="s">
        <v>2967</v>
      </c>
      <c r="FA70" s="135" t="s">
        <v>47</v>
      </c>
      <c r="FB70" s="135" t="str">
        <f t="shared" si="7"/>
        <v>4lgVPT</v>
      </c>
      <c r="FC70" s="156">
        <f>VLOOKUP(EZ70,'Tarieven VPT'!$D$6:$I$113,6,FALSE)</f>
        <v>212.40177719969586</v>
      </c>
      <c r="FD70" s="156">
        <f t="shared" si="30"/>
        <v>1486.8124403978709</v>
      </c>
    </row>
    <row r="71" spans="2:160" ht="19.5" hidden="1" thickBot="1" x14ac:dyDescent="0.35">
      <c r="B71" s="291">
        <f t="shared" si="35"/>
        <v>4</v>
      </c>
      <c r="C71" s="291">
        <f t="shared" si="36"/>
        <v>5</v>
      </c>
      <c r="D71" s="291">
        <f t="shared" si="37"/>
        <v>6</v>
      </c>
      <c r="E71" s="291">
        <f t="shared" si="38"/>
        <v>7</v>
      </c>
      <c r="H71" s="296">
        <f ca="1">IF(I32&gt;M6-M8,5,6)</f>
        <v>6</v>
      </c>
      <c r="J71" s="291">
        <v>6</v>
      </c>
      <c r="K71" s="292">
        <f>M6-M8</f>
        <v>0</v>
      </c>
      <c r="AJ71" s="135" t="s">
        <v>2865</v>
      </c>
      <c r="AX71" s="165" t="s">
        <v>1760</v>
      </c>
      <c r="AY71" s="135" t="s">
        <v>498</v>
      </c>
      <c r="AZ71" s="206">
        <f>VLOOKUP(AY71,'Tarieven ZIN prestaties'!$B$1:$D$84,2,FALSE)</f>
        <v>76.84</v>
      </c>
      <c r="BA71" s="207"/>
      <c r="BH71" s="233"/>
      <c r="BI71" s="193"/>
      <c r="BJ71" s="193"/>
      <c r="BK71" s="272"/>
      <c r="BL71" s="175"/>
      <c r="BR71" s="135">
        <v>624</v>
      </c>
      <c r="BS71" s="135" t="s">
        <v>2697</v>
      </c>
      <c r="DU71" s="181" t="s">
        <v>1216</v>
      </c>
      <c r="DV71" s="182" t="s">
        <v>1244</v>
      </c>
      <c r="DW71" s="135" t="s">
        <v>1598</v>
      </c>
      <c r="DX71" s="200">
        <f t="shared" si="13"/>
        <v>13.75</v>
      </c>
      <c r="DY71" s="135">
        <v>11</v>
      </c>
      <c r="ET71" s="135" t="s">
        <v>2882</v>
      </c>
      <c r="EU71" s="135" t="s">
        <v>2959</v>
      </c>
      <c r="EY71" s="135" t="s">
        <v>2670</v>
      </c>
      <c r="EZ71" s="135" t="s">
        <v>2968</v>
      </c>
      <c r="FA71" s="135" t="s">
        <v>47</v>
      </c>
      <c r="FB71" s="135" t="str">
        <f t="shared" si="7"/>
        <v>5lgVPT</v>
      </c>
      <c r="FC71" s="156">
        <f>VLOOKUP(EZ71,'Tarieven VPT'!$D$6:$I$113,6,FALSE)</f>
        <v>237.09812003179636</v>
      </c>
      <c r="FD71" s="156">
        <f t="shared" si="30"/>
        <v>1659.6868402225746</v>
      </c>
    </row>
    <row r="72" spans="2:160" ht="19.5" hidden="1" thickBot="1" x14ac:dyDescent="0.35">
      <c r="B72" s="291">
        <f t="shared" si="35"/>
        <v>4</v>
      </c>
      <c r="C72" s="291">
        <f t="shared" si="36"/>
        <v>5</v>
      </c>
      <c r="D72" s="291">
        <f t="shared" si="37"/>
        <v>6</v>
      </c>
      <c r="E72" s="291">
        <f t="shared" si="38"/>
        <v>7</v>
      </c>
      <c r="H72" s="296"/>
      <c r="J72" s="291">
        <v>7</v>
      </c>
      <c r="K72" s="292">
        <f>M6-M8</f>
        <v>0</v>
      </c>
      <c r="AJ72" s="135" t="s">
        <v>2866</v>
      </c>
      <c r="AX72" s="165" t="s">
        <v>1761</v>
      </c>
      <c r="AY72" s="135" t="s">
        <v>530</v>
      </c>
      <c r="AZ72" s="206">
        <f>VLOOKUP(AY72,'Tarieven ZIN prestaties'!$B$1:$D$84,2,FALSE)</f>
        <v>81.94</v>
      </c>
      <c r="BA72" s="207"/>
      <c r="BH72" s="233"/>
      <c r="BI72" s="193"/>
      <c r="BJ72" s="193"/>
      <c r="BK72" s="272"/>
      <c r="BL72" s="175"/>
      <c r="BR72" s="135">
        <v>625</v>
      </c>
      <c r="BS72" s="135" t="s">
        <v>2697</v>
      </c>
      <c r="DU72" s="181" t="s">
        <v>1217</v>
      </c>
      <c r="DV72" s="182" t="s">
        <v>1244</v>
      </c>
      <c r="DW72" s="135" t="s">
        <v>1598</v>
      </c>
      <c r="DX72" s="200">
        <f t="shared" si="13"/>
        <v>15.625</v>
      </c>
      <c r="DY72" s="135">
        <v>12.5</v>
      </c>
      <c r="ET72" s="135" t="s">
        <v>2887</v>
      </c>
      <c r="EU72" s="135" t="s">
        <v>2964</v>
      </c>
      <c r="EY72" s="135" t="s">
        <v>2671</v>
      </c>
      <c r="EZ72" s="135" t="s">
        <v>2969</v>
      </c>
      <c r="FA72" s="135" t="s">
        <v>47</v>
      </c>
      <c r="FB72" s="135" t="str">
        <f t="shared" si="7"/>
        <v>6lgVPT</v>
      </c>
      <c r="FC72" s="156">
        <f>VLOOKUP(EZ72,'Tarieven VPT'!$D$6:$I$113,6,FALSE)</f>
        <v>297.57188949870442</v>
      </c>
      <c r="FD72" s="156">
        <f t="shared" si="30"/>
        <v>2083.003226490931</v>
      </c>
    </row>
    <row r="73" spans="2:160" ht="19.5" hidden="1" thickBot="1" x14ac:dyDescent="0.35">
      <c r="B73" s="291">
        <f t="shared" si="35"/>
        <v>4</v>
      </c>
      <c r="C73" s="291">
        <f t="shared" si="36"/>
        <v>5</v>
      </c>
      <c r="D73" s="291">
        <f t="shared" si="37"/>
        <v>6</v>
      </c>
      <c r="E73" s="291">
        <f t="shared" si="38"/>
        <v>7</v>
      </c>
      <c r="H73" s="296">
        <f ca="1">IF(AND(I33&gt;0,I33-M15&gt;0,I35&lt;(M6+M15)),9,0)</f>
        <v>0</v>
      </c>
      <c r="J73" s="291">
        <v>16</v>
      </c>
      <c r="K73" s="292">
        <f ca="1">H69-M15</f>
        <v>0</v>
      </c>
      <c r="AJ73" s="135" t="s">
        <v>2867</v>
      </c>
      <c r="AX73" s="165" t="s">
        <v>1762</v>
      </c>
      <c r="AY73" s="135" t="s">
        <v>516</v>
      </c>
      <c r="AZ73" s="206">
        <f>VLOOKUP(AY73,'Tarieven ZIN prestaties'!$B$1:$D$84,2,FALSE)</f>
        <v>98.93</v>
      </c>
      <c r="BA73" s="207"/>
      <c r="BH73" s="233"/>
      <c r="BI73" s="193"/>
      <c r="BJ73" s="193"/>
      <c r="BK73" s="272"/>
      <c r="BL73" s="175"/>
      <c r="BR73" s="135">
        <v>626</v>
      </c>
      <c r="BS73" s="135" t="s">
        <v>2697</v>
      </c>
      <c r="DU73" s="181" t="s">
        <v>1218</v>
      </c>
      <c r="DV73" s="182" t="s">
        <v>1244</v>
      </c>
      <c r="DW73" s="135" t="s">
        <v>1598</v>
      </c>
      <c r="DX73" s="200">
        <f t="shared" si="13"/>
        <v>21.25</v>
      </c>
      <c r="DY73" s="135">
        <v>17</v>
      </c>
      <c r="ET73" s="135" t="s">
        <v>2892</v>
      </c>
      <c r="EU73" s="135" t="s">
        <v>2969</v>
      </c>
      <c r="EY73" s="135" t="s">
        <v>2672</v>
      </c>
      <c r="EZ73" s="135" t="s">
        <v>2970</v>
      </c>
      <c r="FA73" s="135" t="s">
        <v>47</v>
      </c>
      <c r="FB73" s="135" t="str">
        <f t="shared" ref="FB73:FB82" si="39">CONCATENATE(EY73,FA73)</f>
        <v>7lgVPT</v>
      </c>
      <c r="FC73" s="156">
        <f>VLOOKUP(EZ73,'Tarieven VPT'!$D$6:$I$113,6,FALSE)</f>
        <v>308.92912643792488</v>
      </c>
      <c r="FD73" s="156">
        <f t="shared" si="30"/>
        <v>2162.5038850654742</v>
      </c>
    </row>
    <row r="74" spans="2:160" ht="19.5" hidden="1" thickBot="1" x14ac:dyDescent="0.35">
      <c r="B74" s="291">
        <f t="shared" si="35"/>
        <v>4</v>
      </c>
      <c r="C74" s="291">
        <f t="shared" si="36"/>
        <v>5</v>
      </c>
      <c r="D74" s="291">
        <f t="shared" si="37"/>
        <v>6</v>
      </c>
      <c r="H74" s="296">
        <f ca="1">SUM(H70:H73)</f>
        <v>8</v>
      </c>
      <c r="J74" s="291">
        <v>17</v>
      </c>
      <c r="K74" s="292">
        <f ca="1">I35-I34-I41</f>
        <v>0</v>
      </c>
      <c r="AJ74" s="135" t="s">
        <v>2868</v>
      </c>
      <c r="AX74" s="165" t="s">
        <v>1763</v>
      </c>
      <c r="AY74" s="135" t="s">
        <v>494</v>
      </c>
      <c r="AZ74" s="206">
        <f>VLOOKUP(AY74,'Tarieven ZIN prestaties'!$B$1:$D$84,2,FALSE)</f>
        <v>120.68</v>
      </c>
      <c r="BA74" s="207"/>
      <c r="BI74" s="193"/>
      <c r="BJ74" s="193"/>
      <c r="BK74" s="272"/>
      <c r="BL74" s="175"/>
      <c r="BR74" s="135">
        <v>627</v>
      </c>
      <c r="BS74" s="135" t="s">
        <v>2697</v>
      </c>
      <c r="DU74" s="181" t="s">
        <v>1219</v>
      </c>
      <c r="DV74" s="182" t="s">
        <v>1244</v>
      </c>
      <c r="DW74" s="135" t="s">
        <v>1598</v>
      </c>
      <c r="DX74" s="200">
        <f t="shared" si="13"/>
        <v>21.25</v>
      </c>
      <c r="DY74" s="135">
        <v>17</v>
      </c>
      <c r="ET74" s="135" t="s">
        <v>2878</v>
      </c>
      <c r="EU74" s="135" t="s">
        <v>2794</v>
      </c>
      <c r="EY74" s="135" t="s">
        <v>2679</v>
      </c>
      <c r="EZ74" s="135" t="s">
        <v>2979</v>
      </c>
      <c r="FA74" s="135" t="s">
        <v>47</v>
      </c>
      <c r="FB74" s="135" t="str">
        <f t="shared" si="39"/>
        <v>1zgaudVPT</v>
      </c>
      <c r="FC74" s="156">
        <f>VLOOKUP(EZ74,'Tarieven VPT'!$D$6:$I$113,6,FALSE)</f>
        <v>181.27969869813094</v>
      </c>
      <c r="FD74" s="156">
        <f t="shared" si="30"/>
        <v>1268.9578908869166</v>
      </c>
    </row>
    <row r="75" spans="2:160" ht="19.5" hidden="1" thickBot="1" x14ac:dyDescent="0.35">
      <c r="B75" s="291">
        <f t="shared" si="35"/>
        <v>4</v>
      </c>
      <c r="C75" s="291">
        <f t="shared" si="36"/>
        <v>5</v>
      </c>
      <c r="H75" s="296"/>
      <c r="J75" s="291">
        <v>8</v>
      </c>
      <c r="K75" s="292">
        <f ca="1">I32+I33</f>
        <v>0</v>
      </c>
      <c r="AJ75" s="135" t="s">
        <v>1164</v>
      </c>
      <c r="AX75" s="165" t="s">
        <v>1764</v>
      </c>
      <c r="AY75" s="135" t="s">
        <v>512</v>
      </c>
      <c r="AZ75" s="206">
        <f>VLOOKUP(AY75,'Tarieven ZIN prestaties'!$B$1:$D$84,2,FALSE)</f>
        <v>41.87</v>
      </c>
      <c r="BA75" s="207"/>
      <c r="BI75" s="193"/>
      <c r="BJ75" s="193"/>
      <c r="BK75" s="272"/>
      <c r="BL75" s="175"/>
      <c r="BR75" s="135">
        <v>628</v>
      </c>
      <c r="BS75" s="135" t="s">
        <v>2697</v>
      </c>
      <c r="DU75" s="181" t="s">
        <v>1220</v>
      </c>
      <c r="DV75" s="182" t="s">
        <v>1244</v>
      </c>
      <c r="DW75" s="135" t="s">
        <v>1631</v>
      </c>
      <c r="DX75" s="200">
        <f t="shared" si="13"/>
        <v>28.75</v>
      </c>
      <c r="DY75" s="254">
        <v>23</v>
      </c>
      <c r="ET75" s="135" t="s">
        <v>2883</v>
      </c>
      <c r="EU75" s="135" t="s">
        <v>2960</v>
      </c>
      <c r="EY75" s="135" t="s">
        <v>2681</v>
      </c>
      <c r="EZ75" s="135" t="s">
        <v>2982</v>
      </c>
      <c r="FA75" s="135" t="s">
        <v>47</v>
      </c>
      <c r="FB75" s="135" t="str">
        <f>CONCATENATE(EY75,FA77)</f>
        <v>4zgaudVPT</v>
      </c>
      <c r="FC75" s="156">
        <f>VLOOKUP(EZ75,'Tarieven VPT'!$D$6:$I$113,6,FALSE)</f>
        <v>249.1</v>
      </c>
      <c r="FD75" s="156">
        <f t="shared" si="30"/>
        <v>1743.7</v>
      </c>
    </row>
    <row r="76" spans="2:160" ht="19.5" hidden="1" thickBot="1" x14ac:dyDescent="0.35">
      <c r="B76" s="291">
        <f t="shared" si="35"/>
        <v>4</v>
      </c>
      <c r="H76" s="296"/>
      <c r="J76" s="291">
        <v>9</v>
      </c>
      <c r="K76" s="292">
        <f ca="1">H69-M15</f>
        <v>0</v>
      </c>
      <c r="AJ76" s="135" t="s">
        <v>2869</v>
      </c>
      <c r="AX76" s="165" t="s">
        <v>1765</v>
      </c>
      <c r="AY76" s="135" t="s">
        <v>534</v>
      </c>
      <c r="AZ76" s="206">
        <f>VLOOKUP(AY76,'Tarieven ZIN prestaties'!$B$1:$D$84,2,FALSE)</f>
        <v>47.74</v>
      </c>
      <c r="BA76" s="207"/>
      <c r="BI76" s="193"/>
      <c r="BJ76" s="193"/>
      <c r="BK76" s="272"/>
      <c r="BL76" s="175"/>
      <c r="BR76" s="135">
        <v>629</v>
      </c>
      <c r="BS76" s="135" t="s">
        <v>2697</v>
      </c>
      <c r="DU76" s="181" t="s">
        <v>1221</v>
      </c>
      <c r="DV76" s="182" t="s">
        <v>1244</v>
      </c>
      <c r="DW76" s="135" t="s">
        <v>1631</v>
      </c>
      <c r="DX76" s="200">
        <f t="shared" si="13"/>
        <v>35.625</v>
      </c>
      <c r="DY76" s="254">
        <v>28.5</v>
      </c>
      <c r="ET76" s="135" t="s">
        <v>2888</v>
      </c>
      <c r="EU76" s="135" t="s">
        <v>2965</v>
      </c>
      <c r="EY76" s="135" t="s">
        <v>2687</v>
      </c>
      <c r="EZ76" s="135" t="s">
        <v>2980</v>
      </c>
      <c r="FA76" s="135" t="s">
        <v>47</v>
      </c>
      <c r="FB76" s="135" t="str">
        <f>CONCATENATE(EY76,FA75)</f>
        <v>2zgaudVPT</v>
      </c>
      <c r="FC76" s="156">
        <f>VLOOKUP(EZ76,'Tarieven VPT'!$D$6:$I$113,6,FALSE)</f>
        <v>357.72230033712071</v>
      </c>
      <c r="FD76" s="156">
        <f t="shared" si="30"/>
        <v>2504.0561023598448</v>
      </c>
    </row>
    <row r="77" spans="2:160" ht="19.5" hidden="1" thickBot="1" x14ac:dyDescent="0.35">
      <c r="H77" s="296"/>
      <c r="AJ77" s="135" t="s">
        <v>1164</v>
      </c>
      <c r="AX77" s="165" t="s">
        <v>1766</v>
      </c>
      <c r="AY77" s="135" t="s">
        <v>526</v>
      </c>
      <c r="AZ77" s="206">
        <f>VLOOKUP(AY77,'Tarieven ZIN prestaties'!$B$1:$D$84,2,FALSE)</f>
        <v>52.13</v>
      </c>
      <c r="BA77" s="207"/>
      <c r="BI77" s="193"/>
      <c r="BJ77" s="193"/>
      <c r="BK77" s="272"/>
      <c r="BL77" s="175"/>
      <c r="BR77" s="135">
        <v>630</v>
      </c>
      <c r="BS77" s="135" t="s">
        <v>2697</v>
      </c>
      <c r="DU77" s="181" t="s">
        <v>1596</v>
      </c>
      <c r="DV77" s="182" t="s">
        <v>1244</v>
      </c>
      <c r="DW77" s="135" t="s">
        <v>1598</v>
      </c>
      <c r="DX77" s="200">
        <f t="shared" si="13"/>
        <v>25</v>
      </c>
      <c r="DY77" s="135">
        <v>20</v>
      </c>
      <c r="ET77" s="135" t="s">
        <v>2893</v>
      </c>
      <c r="EU77" s="135" t="s">
        <v>2970</v>
      </c>
      <c r="EY77" s="135" t="s">
        <v>2680</v>
      </c>
      <c r="EZ77" s="135" t="s">
        <v>2981</v>
      </c>
      <c r="FA77" s="135" t="s">
        <v>47</v>
      </c>
      <c r="FB77" s="135" t="str">
        <f>CONCATENATE(EY77,FA76)</f>
        <v>3zgaudVPT</v>
      </c>
      <c r="FC77" s="156">
        <f>VLOOKUP(EZ77,'Tarieven VPT'!$D$6:$I$113,6,FALSE)</f>
        <v>422.18580807984307</v>
      </c>
      <c r="FD77" s="156">
        <f t="shared" si="30"/>
        <v>2955.3006565589017</v>
      </c>
    </row>
    <row r="78" spans="2:160" ht="19.5" hidden="1" thickBot="1" x14ac:dyDescent="0.35">
      <c r="H78" s="296"/>
      <c r="AJ78" s="135" t="s">
        <v>2870</v>
      </c>
      <c r="AX78" s="165" t="s">
        <v>1767</v>
      </c>
      <c r="AY78" s="135" t="s">
        <v>506</v>
      </c>
      <c r="AZ78" s="206">
        <f>VLOOKUP(AY78,'Tarieven ZIN prestaties'!$B$1:$D$84,2,FALSE)</f>
        <v>69.02</v>
      </c>
      <c r="BA78" s="207"/>
      <c r="BI78" s="193"/>
      <c r="BJ78" s="193"/>
      <c r="BK78" s="272"/>
      <c r="BL78" s="175"/>
      <c r="BR78" s="135">
        <v>631</v>
      </c>
      <c r="BS78" s="135" t="s">
        <v>2697</v>
      </c>
      <c r="DU78" s="181" t="s">
        <v>1238</v>
      </c>
      <c r="DV78" s="182" t="s">
        <v>1244</v>
      </c>
      <c r="DW78" s="135" t="s">
        <v>1598</v>
      </c>
      <c r="DX78" s="200">
        <f t="shared" si="13"/>
        <v>20</v>
      </c>
      <c r="DY78" s="135">
        <v>16</v>
      </c>
      <c r="ET78" s="135" t="s">
        <v>2894</v>
      </c>
      <c r="EU78" s="135" t="s">
        <v>2795</v>
      </c>
      <c r="EY78" s="135" t="s">
        <v>2674</v>
      </c>
      <c r="EZ78" s="135" t="s">
        <v>2983</v>
      </c>
      <c r="FA78" s="135" t="s">
        <v>47</v>
      </c>
      <c r="FB78" s="135" t="str">
        <f t="shared" si="39"/>
        <v>1zgvisVPT</v>
      </c>
      <c r="FC78" s="156">
        <f>VLOOKUP(EZ78,'Tarieven VPT'!$D$6:$I$113,6,FALSE)</f>
        <v>128.65</v>
      </c>
      <c r="FD78" s="156">
        <f t="shared" si="30"/>
        <v>900.55000000000007</v>
      </c>
    </row>
    <row r="79" spans="2:160" ht="19.5" hidden="1" thickBot="1" x14ac:dyDescent="0.35">
      <c r="B79" s="291">
        <f t="shared" ref="B79:B84" si="40">IF($E$25=E26,8,0)</f>
        <v>8</v>
      </c>
      <c r="C79" s="291">
        <f>IF($E$26=E27,9,0)</f>
        <v>9</v>
      </c>
      <c r="D79" s="291">
        <f>IF($E$27=E28,10,0)</f>
        <v>10</v>
      </c>
      <c r="E79" s="291">
        <f>IF($E$28=E29,11,0)</f>
        <v>11</v>
      </c>
      <c r="H79" s="296"/>
      <c r="AJ79" s="135" t="s">
        <v>2871</v>
      </c>
      <c r="AX79" s="165" t="s">
        <v>1768</v>
      </c>
      <c r="AY79" s="135" t="s">
        <v>538</v>
      </c>
      <c r="AZ79" s="206">
        <f>VLOOKUP(AY79,'Tarieven ZIN prestaties'!$B$1:$D$84,2,FALSE)</f>
        <v>79.97</v>
      </c>
      <c r="BA79" s="207"/>
      <c r="BI79" s="193"/>
      <c r="BJ79" s="193"/>
      <c r="BK79" s="272"/>
      <c r="BL79" s="175"/>
      <c r="BR79" s="135">
        <v>632</v>
      </c>
      <c r="BS79" s="135" t="s">
        <v>2697</v>
      </c>
      <c r="DU79" s="181" t="s">
        <v>1239</v>
      </c>
      <c r="DV79" s="182" t="s">
        <v>1244</v>
      </c>
      <c r="DW79" s="135" t="s">
        <v>1598</v>
      </c>
      <c r="DX79" s="200">
        <f t="shared" si="13"/>
        <v>24.375</v>
      </c>
      <c r="DY79" s="135">
        <v>19.5</v>
      </c>
      <c r="ET79" s="135" t="s">
        <v>2898</v>
      </c>
      <c r="EU79" s="135" t="s">
        <v>2971</v>
      </c>
      <c r="EY79" s="135" t="s">
        <v>2675</v>
      </c>
      <c r="EZ79" s="135" t="s">
        <v>2984</v>
      </c>
      <c r="FA79" s="135" t="s">
        <v>47</v>
      </c>
      <c r="FB79" s="135" t="str">
        <f t="shared" si="39"/>
        <v>2zgvisVPT</v>
      </c>
      <c r="FC79" s="156">
        <f>VLOOKUP(EZ79,'Tarieven VPT'!$D$6:$I$113,6,FALSE)</f>
        <v>157.12</v>
      </c>
      <c r="FD79" s="156">
        <f t="shared" si="30"/>
        <v>1099.8400000000001</v>
      </c>
    </row>
    <row r="80" spans="2:160" ht="19.5" hidden="1" thickBot="1" x14ac:dyDescent="0.35">
      <c r="B80" s="291">
        <f t="shared" si="40"/>
        <v>8</v>
      </c>
      <c r="C80" s="291">
        <f>IF($E$26=E28,9,0)</f>
        <v>9</v>
      </c>
      <c r="D80" s="291">
        <f>IF($E$27=E29,10,0)</f>
        <v>10</v>
      </c>
      <c r="E80" s="291">
        <f>IF($E$28=E30,11,0)</f>
        <v>11</v>
      </c>
      <c r="H80" s="296"/>
      <c r="AJ80" s="135" t="s">
        <v>2872</v>
      </c>
      <c r="AX80" s="165" t="s">
        <v>1769</v>
      </c>
      <c r="AY80" s="135" t="s">
        <v>496</v>
      </c>
      <c r="AZ80" s="206">
        <f>VLOOKUP(AY80,'Tarieven ZIN prestaties'!$B$1:$D$84,2,FALSE)</f>
        <v>98.13</v>
      </c>
      <c r="BA80" s="207"/>
      <c r="BI80" s="193"/>
      <c r="BJ80" s="193"/>
      <c r="BK80" s="272"/>
      <c r="BL80" s="175"/>
      <c r="BR80" s="135">
        <v>633</v>
      </c>
      <c r="BS80" s="135" t="s">
        <v>2697</v>
      </c>
      <c r="DU80" s="181" t="s">
        <v>1240</v>
      </c>
      <c r="DV80" s="182" t="s">
        <v>1244</v>
      </c>
      <c r="DW80" s="135" t="s">
        <v>1598</v>
      </c>
      <c r="DX80" s="200">
        <f t="shared" si="13"/>
        <v>26.875</v>
      </c>
      <c r="DY80" s="135">
        <v>21.5</v>
      </c>
      <c r="ET80" s="135" t="s">
        <v>2902</v>
      </c>
      <c r="EU80" s="135" t="s">
        <v>2975</v>
      </c>
      <c r="EY80" s="135" t="s">
        <v>2676</v>
      </c>
      <c r="EZ80" s="135" t="s">
        <v>2991</v>
      </c>
      <c r="FA80" s="135" t="s">
        <v>47</v>
      </c>
      <c r="FB80" s="135" t="str">
        <f t="shared" si="39"/>
        <v>3zgvisVPT</v>
      </c>
      <c r="FC80" s="156">
        <f>VLOOKUP(EZ80,'Tarieven VPT'!$D$6:$I$113,6,FALSE)</f>
        <v>195.81</v>
      </c>
      <c r="FD80" s="156">
        <f t="shared" si="30"/>
        <v>1370.67</v>
      </c>
    </row>
    <row r="81" spans="2:160" ht="19.5" hidden="1" thickBot="1" x14ac:dyDescent="0.35">
      <c r="B81" s="291">
        <f t="shared" si="40"/>
        <v>8</v>
      </c>
      <c r="C81" s="291">
        <f>IF($E$26=E29,9,0)</f>
        <v>9</v>
      </c>
      <c r="D81" s="291">
        <f>IF($E$27=E30,10,0)</f>
        <v>10</v>
      </c>
      <c r="E81" s="291">
        <f>IF($E$28=E31,11,0)</f>
        <v>11</v>
      </c>
      <c r="H81" s="296"/>
      <c r="AJ81" s="135" t="s">
        <v>2873</v>
      </c>
      <c r="AX81" s="165" t="s">
        <v>1643</v>
      </c>
      <c r="AY81" s="135" t="s">
        <v>415</v>
      </c>
      <c r="AZ81" s="206">
        <f>VLOOKUP(AY81,'Tarieven ZIN prestaties'!$B$1:$D$84,2,FALSE)</f>
        <v>139.54</v>
      </c>
      <c r="BA81" s="207"/>
      <c r="BI81" s="193"/>
      <c r="BJ81" s="193"/>
      <c r="BK81" s="272"/>
      <c r="BL81" s="175"/>
      <c r="BR81" s="135">
        <v>634</v>
      </c>
      <c r="BS81" s="135" t="s">
        <v>2697</v>
      </c>
      <c r="DU81" s="181" t="s">
        <v>1241</v>
      </c>
      <c r="DV81" s="182" t="s">
        <v>1244</v>
      </c>
      <c r="DW81" s="135" t="s">
        <v>1631</v>
      </c>
      <c r="DX81" s="200">
        <f t="shared" si="13"/>
        <v>31.875</v>
      </c>
      <c r="DY81" s="254">
        <v>25.5</v>
      </c>
      <c r="ET81" s="135" t="s">
        <v>2906</v>
      </c>
      <c r="EU81" s="135" t="s">
        <v>2979</v>
      </c>
      <c r="EY81" s="135" t="s">
        <v>2677</v>
      </c>
      <c r="EZ81" s="135" t="s">
        <v>2992</v>
      </c>
      <c r="FA81" s="135" t="s">
        <v>47</v>
      </c>
      <c r="FB81" s="135" t="str">
        <f t="shared" si="39"/>
        <v>4zgvisVPT</v>
      </c>
      <c r="FC81" s="156">
        <f>VLOOKUP(EZ81,'Tarieven VPT'!$D$6:$I$113,6,FALSE)</f>
        <v>250.64</v>
      </c>
      <c r="FD81" s="156">
        <f t="shared" si="30"/>
        <v>1754.48</v>
      </c>
    </row>
    <row r="82" spans="2:160" ht="19.5" hidden="1" thickBot="1" x14ac:dyDescent="0.35">
      <c r="B82" s="291">
        <f t="shared" si="40"/>
        <v>8</v>
      </c>
      <c r="C82" s="291">
        <f>IF($E$26=E30,9,0)</f>
        <v>9</v>
      </c>
      <c r="D82" s="291">
        <f>IF($E$27=E31,10,0)</f>
        <v>10</v>
      </c>
      <c r="H82" s="296"/>
      <c r="AJ82" s="135" t="s">
        <v>2874</v>
      </c>
      <c r="AX82" s="165" t="s">
        <v>1673</v>
      </c>
      <c r="AY82" s="135" t="s">
        <v>413</v>
      </c>
      <c r="AZ82" s="206" t="e">
        <f>VLOOKUP(AY82,'Tarieven ZIN prestaties'!$B$1:$D$84,2,FALSE)</f>
        <v>#N/A</v>
      </c>
      <c r="BA82" s="207"/>
      <c r="BI82" s="193"/>
      <c r="BJ82" s="193"/>
      <c r="BK82" s="272"/>
      <c r="BL82" s="175"/>
      <c r="BR82" s="135">
        <v>635</v>
      </c>
      <c r="BS82" s="135" t="s">
        <v>2697</v>
      </c>
      <c r="DU82" s="181" t="s">
        <v>1242</v>
      </c>
      <c r="DV82" s="182" t="s">
        <v>1244</v>
      </c>
      <c r="DW82" s="135" t="s">
        <v>1631</v>
      </c>
      <c r="DX82" s="200">
        <f>DY82*1.25</f>
        <v>31.875</v>
      </c>
      <c r="DY82" s="254">
        <v>25.5</v>
      </c>
      <c r="ET82" s="135" t="s">
        <v>2897</v>
      </c>
      <c r="EU82" s="135" t="s">
        <v>2798</v>
      </c>
      <c r="EY82" s="135" t="s">
        <v>2678</v>
      </c>
      <c r="EZ82" s="135" t="s">
        <v>2993</v>
      </c>
      <c r="FA82" s="135" t="s">
        <v>47</v>
      </c>
      <c r="FB82" s="135" t="str">
        <f t="shared" si="39"/>
        <v>5zgvisVPT</v>
      </c>
      <c r="FC82" s="156">
        <f>VLOOKUP(EZ82,'Tarieven VPT'!$D$6:$I$113,6,FALSE)</f>
        <v>273.91000000000003</v>
      </c>
      <c r="FD82" s="156">
        <f>FC82*7</f>
        <v>1917.3700000000001</v>
      </c>
    </row>
    <row r="83" spans="2:160" ht="19.5" hidden="1" thickBot="1" x14ac:dyDescent="0.35">
      <c r="B83" s="291">
        <f t="shared" si="40"/>
        <v>8</v>
      </c>
      <c r="C83" s="291">
        <f>IF($E$26=E31,9,0)</f>
        <v>9</v>
      </c>
      <c r="H83" s="296"/>
      <c r="AJ83" s="135" t="s">
        <v>2875</v>
      </c>
      <c r="AX83" s="165" t="s">
        <v>1770</v>
      </c>
      <c r="AY83" s="135" t="s">
        <v>429</v>
      </c>
      <c r="AZ83" s="206" t="e">
        <f>VLOOKUP(AY83,'Tarieven ZIN prestaties'!$B$1:$D$84,2,FALSE)</f>
        <v>#N/A</v>
      </c>
      <c r="BA83" s="207"/>
      <c r="BI83" s="193"/>
      <c r="BJ83" s="193"/>
      <c r="BK83" s="272"/>
      <c r="BL83" s="175"/>
      <c r="BR83" s="135">
        <v>636</v>
      </c>
      <c r="BS83" s="135" t="s">
        <v>2697</v>
      </c>
      <c r="DU83" s="181" t="s">
        <v>1243</v>
      </c>
      <c r="DV83" s="182" t="s">
        <v>1244</v>
      </c>
      <c r="DW83" s="135" t="s">
        <v>1631</v>
      </c>
      <c r="DX83" s="200">
        <f>DY83*1.25</f>
        <v>34.375</v>
      </c>
      <c r="DY83" s="254">
        <v>27.5</v>
      </c>
      <c r="ET83" s="135" t="s">
        <v>2901</v>
      </c>
      <c r="EU83" s="135" t="s">
        <v>2974</v>
      </c>
    </row>
    <row r="84" spans="2:160" ht="18.75" hidden="1" x14ac:dyDescent="0.3">
      <c r="B84" s="291">
        <f t="shared" si="40"/>
        <v>8</v>
      </c>
      <c r="H84" s="296"/>
      <c r="AJ84" s="135" t="s">
        <v>2876</v>
      </c>
      <c r="AX84" s="165" t="s">
        <v>1771</v>
      </c>
      <c r="AY84" s="135" t="s">
        <v>17</v>
      </c>
      <c r="AZ84" s="206" t="e">
        <f>VLOOKUP(AY84,'Tarieven ZIN prestaties'!$B$1:$D$84,2,FALSE)</f>
        <v>#N/A</v>
      </c>
      <c r="BA84" s="207"/>
      <c r="BI84" s="193"/>
      <c r="BJ84" s="193"/>
      <c r="BR84" s="135">
        <v>637</v>
      </c>
      <c r="BS84" s="135" t="s">
        <v>2697</v>
      </c>
      <c r="ET84" s="135" t="s">
        <v>2905</v>
      </c>
      <c r="EU84" s="135" t="s">
        <v>2978</v>
      </c>
    </row>
    <row r="85" spans="2:160" ht="18.75" hidden="1" x14ac:dyDescent="0.3">
      <c r="H85" s="296"/>
      <c r="AJ85" s="135" t="s">
        <v>2877</v>
      </c>
      <c r="AX85" s="165" t="s">
        <v>1674</v>
      </c>
      <c r="AY85" s="135" t="s">
        <v>451</v>
      </c>
      <c r="AZ85" s="206" t="e">
        <f>VLOOKUP(AY85,'Tarieven ZIN prestaties'!$B$1:$D$84,2,FALSE)</f>
        <v>#N/A</v>
      </c>
      <c r="BA85" s="207"/>
      <c r="BI85" s="193"/>
      <c r="BJ85" s="193"/>
      <c r="BR85" s="135">
        <v>638</v>
      </c>
      <c r="BS85" s="135" t="s">
        <v>2697</v>
      </c>
      <c r="ET85" s="135" t="s">
        <v>2909</v>
      </c>
      <c r="EU85" s="135" t="s">
        <v>2982</v>
      </c>
    </row>
    <row r="86" spans="2:160" ht="18.75" hidden="1" x14ac:dyDescent="0.3">
      <c r="H86" s="296"/>
      <c r="AJ86" s="135" t="s">
        <v>2878</v>
      </c>
      <c r="AX86" s="165" t="s">
        <v>1675</v>
      </c>
      <c r="AY86" s="135" t="s">
        <v>449</v>
      </c>
      <c r="AZ86" s="206" t="e">
        <f>VLOOKUP(AY86,'Tarieven ZIN prestaties'!$B$1:$D$84,2,FALSE)</f>
        <v>#N/A</v>
      </c>
      <c r="BA86" s="207"/>
      <c r="BR86" s="135">
        <v>639</v>
      </c>
      <c r="BS86" s="135" t="s">
        <v>2697</v>
      </c>
      <c r="ET86" s="135" t="s">
        <v>2895</v>
      </c>
      <c r="EU86" s="135" t="s">
        <v>2796</v>
      </c>
    </row>
    <row r="87" spans="2:160" ht="18.75" hidden="1" x14ac:dyDescent="0.3">
      <c r="B87" s="291">
        <f>IF($E$29=E30,12,0)</f>
        <v>12</v>
      </c>
      <c r="C87" s="291">
        <f>IF(E30=E31,13,0)</f>
        <v>13</v>
      </c>
      <c r="H87" s="296"/>
      <c r="AJ87" s="135" t="s">
        <v>2879</v>
      </c>
      <c r="AX87" s="165" t="s">
        <v>1676</v>
      </c>
      <c r="AY87" s="135" t="s">
        <v>463</v>
      </c>
      <c r="AZ87" s="206" t="e">
        <f>VLOOKUP(AY87,'Tarieven ZIN prestaties'!$B$1:$D$84,2,FALSE)</f>
        <v>#N/A</v>
      </c>
      <c r="BA87" s="207"/>
      <c r="BR87" s="135">
        <v>500</v>
      </c>
      <c r="BS87" s="135" t="s">
        <v>2697</v>
      </c>
      <c r="ET87" s="135" t="s">
        <v>2899</v>
      </c>
      <c r="EU87" s="135" t="s">
        <v>2972</v>
      </c>
    </row>
    <row r="88" spans="2:160" ht="18.75" hidden="1" x14ac:dyDescent="0.3">
      <c r="B88" s="291">
        <f>IF($E$29=E31,12,0)</f>
        <v>12</v>
      </c>
      <c r="H88" s="296"/>
      <c r="AJ88" s="135" t="s">
        <v>2880</v>
      </c>
      <c r="AX88" s="165" t="s">
        <v>1677</v>
      </c>
      <c r="AY88" s="135" t="s">
        <v>482</v>
      </c>
      <c r="AZ88" s="206" t="e">
        <f>VLOOKUP(AY88,'Tarieven ZIN prestaties'!$B$1:$D$84,2,FALSE)</f>
        <v>#N/A</v>
      </c>
      <c r="BA88" s="207"/>
      <c r="BR88" s="135">
        <v>501</v>
      </c>
      <c r="BS88" s="135" t="s">
        <v>2698</v>
      </c>
      <c r="ET88" s="135" t="s">
        <v>2903</v>
      </c>
      <c r="EU88" s="135" t="s">
        <v>2976</v>
      </c>
    </row>
    <row r="89" spans="2:160" ht="18.75" hidden="1" x14ac:dyDescent="0.3">
      <c r="H89" s="296"/>
      <c r="AJ89" s="135" t="s">
        <v>2881</v>
      </c>
      <c r="AX89" s="165" t="s">
        <v>1678</v>
      </c>
      <c r="AY89" s="135" t="s">
        <v>474</v>
      </c>
      <c r="AZ89" s="206" t="e">
        <f>VLOOKUP(AY89,'Tarieven ZIN prestaties'!$B$1:$D$84,2,FALSE)</f>
        <v>#N/A</v>
      </c>
      <c r="BA89" s="207"/>
      <c r="BR89" s="135">
        <v>502</v>
      </c>
      <c r="BS89" s="135" t="s">
        <v>2697</v>
      </c>
      <c r="ET89" s="135" t="s">
        <v>2907</v>
      </c>
      <c r="EU89" s="135" t="s">
        <v>2980</v>
      </c>
    </row>
    <row r="90" spans="2:160" ht="18.75" hidden="1" x14ac:dyDescent="0.3">
      <c r="F90" s="291" t="s">
        <v>3340</v>
      </c>
      <c r="G90" s="291">
        <f>COUNTIF(E93:E106,"dubbel")</f>
        <v>0</v>
      </c>
      <c r="H90" s="296"/>
      <c r="AJ90" s="135" t="s">
        <v>2882</v>
      </c>
      <c r="AX90" s="165" t="s">
        <v>1679</v>
      </c>
      <c r="AY90" s="135" t="s">
        <v>455</v>
      </c>
      <c r="AZ90" s="206" t="e">
        <f>VLOOKUP(AY90,'Tarieven ZIN prestaties'!$B$1:$D$84,2,FALSE)</f>
        <v>#N/A</v>
      </c>
      <c r="BA90" s="207"/>
      <c r="BR90" s="135">
        <v>503</v>
      </c>
      <c r="BS90" s="135" t="s">
        <v>2697</v>
      </c>
      <c r="ET90" s="135" t="s">
        <v>2896</v>
      </c>
      <c r="EU90" s="135" t="s">
        <v>2797</v>
      </c>
    </row>
    <row r="91" spans="2:160" ht="18.75" hidden="1" x14ac:dyDescent="0.3">
      <c r="H91" s="296"/>
      <c r="AJ91" s="135" t="s">
        <v>2883</v>
      </c>
      <c r="AX91" s="165" t="s">
        <v>1680</v>
      </c>
      <c r="AY91" s="135" t="s">
        <v>465</v>
      </c>
      <c r="AZ91" s="206" t="e">
        <f>VLOOKUP(AY91,'Tarieven ZIN prestaties'!$B$1:$D$84,2,FALSE)</f>
        <v>#N/A</v>
      </c>
      <c r="BA91" s="207"/>
      <c r="BR91" s="135">
        <v>504</v>
      </c>
      <c r="BS91" s="135" t="s">
        <v>2697</v>
      </c>
      <c r="ET91" s="135" t="s">
        <v>2900</v>
      </c>
      <c r="EU91" s="135" t="s">
        <v>2973</v>
      </c>
    </row>
    <row r="92" spans="2:160" ht="18.75" hidden="1" x14ac:dyDescent="0.3">
      <c r="H92" s="296"/>
      <c r="AJ92" s="135" t="s">
        <v>2884</v>
      </c>
      <c r="AX92" s="165" t="s">
        <v>1681</v>
      </c>
      <c r="AY92" s="135" t="s">
        <v>488</v>
      </c>
      <c r="AZ92" s="206" t="e">
        <f>VLOOKUP(AY92,'Tarieven ZIN prestaties'!$B$1:$D$84,2,FALSE)</f>
        <v>#N/A</v>
      </c>
      <c r="BA92" s="207"/>
      <c r="BR92" s="135">
        <v>505</v>
      </c>
      <c r="BS92" s="135" t="s">
        <v>2698</v>
      </c>
      <c r="ET92" s="135" t="s">
        <v>2904</v>
      </c>
      <c r="EU92" s="135" t="s">
        <v>2977</v>
      </c>
    </row>
    <row r="93" spans="2:160" ht="18.75" hidden="1" x14ac:dyDescent="0.3">
      <c r="B93" s="291" t="str">
        <f>IF(AND(B65=0,B52=1),E18,IF(AND(B65=0,B52=0),E18,"geen AGB"))</f>
        <v>geen AGB</v>
      </c>
      <c r="C93" s="291" t="s">
        <v>3326</v>
      </c>
      <c r="D93" s="297">
        <f t="shared" ref="D93:D106" si="41">E18</f>
        <v>0</v>
      </c>
      <c r="E93" s="298">
        <v>1</v>
      </c>
      <c r="F93" s="291">
        <f t="shared" ref="F93:F106" si="42">E18</f>
        <v>0</v>
      </c>
      <c r="G93" s="291">
        <v>1</v>
      </c>
      <c r="H93" s="297"/>
      <c r="M93" s="113">
        <v>1</v>
      </c>
      <c r="AJ93" s="135" t="s">
        <v>2885</v>
      </c>
      <c r="AX93" s="165" t="s">
        <v>1682</v>
      </c>
      <c r="AY93" s="135" t="s">
        <v>508</v>
      </c>
      <c r="AZ93" s="206" t="e">
        <f>VLOOKUP(AY93,'Tarieven ZIN prestaties'!$B$1:$D$84,2,FALSE)</f>
        <v>#N/A</v>
      </c>
      <c r="BA93" s="207"/>
      <c r="BR93" s="135">
        <v>506</v>
      </c>
      <c r="BS93" s="135" t="s">
        <v>2697</v>
      </c>
      <c r="ET93" s="135" t="s">
        <v>2908</v>
      </c>
      <c r="EU93" s="135" t="s">
        <v>2981</v>
      </c>
    </row>
    <row r="94" spans="2:160" ht="18.75" hidden="1" x14ac:dyDescent="0.3">
      <c r="B94" s="291" t="str">
        <f>IF(AND(D64=1,D51=2),"",IF(AND(D51=0,D64=0),"",E19))</f>
        <v/>
      </c>
      <c r="C94" s="291" t="s">
        <v>3327</v>
      </c>
      <c r="D94" s="297">
        <f t="shared" si="41"/>
        <v>0</v>
      </c>
      <c r="E94" s="298">
        <f>IF(D94&lt;&gt;D93,E93+1,E93)</f>
        <v>1</v>
      </c>
      <c r="F94" s="291">
        <f t="shared" si="42"/>
        <v>0</v>
      </c>
      <c r="G94" s="291" t="str">
        <f>IF(E94=2,2,IF($E$95=3,3,IF($E$96=4,4,IF($E$97=5,5,IF($E$98=6,6,IF($E$99=7,7,IF($E$100=8,8,IF($E$101=9,9,IF($E$102=10,10,IF($E$103=11,11,IF($E$104=12,12,IF($E$105=13,13,IF($E$106=14,14,"onwaar")))))))))))))</f>
        <v>onwaar</v>
      </c>
      <c r="H94" s="297"/>
      <c r="M94" s="113">
        <v>2</v>
      </c>
      <c r="AJ94" s="135" t="s">
        <v>2886</v>
      </c>
      <c r="AX94" s="165" t="s">
        <v>1683</v>
      </c>
      <c r="AY94" s="135" t="s">
        <v>544</v>
      </c>
      <c r="AZ94" s="206" t="e">
        <f>VLOOKUP(AY94,'Tarieven ZIN prestaties'!$B$1:$D$84,2,FALSE)</f>
        <v>#N/A</v>
      </c>
      <c r="BA94" s="207"/>
      <c r="BR94" s="135">
        <v>507</v>
      </c>
      <c r="BS94" s="135" t="s">
        <v>2697</v>
      </c>
      <c r="ET94" s="135" t="s">
        <v>2910</v>
      </c>
      <c r="EU94" s="135" t="s">
        <v>2799</v>
      </c>
    </row>
    <row r="95" spans="2:160" ht="18.75" hidden="1" x14ac:dyDescent="0.3">
      <c r="C95" s="291" t="s">
        <v>3328</v>
      </c>
      <c r="D95" s="297">
        <f t="shared" si="41"/>
        <v>0</v>
      </c>
      <c r="E95" s="298">
        <f>IF(AND(D95&lt;&gt;D94,D95&lt;&gt;D93),E94+1,E94)</f>
        <v>1</v>
      </c>
      <c r="F95" s="291">
        <f t="shared" si="42"/>
        <v>0</v>
      </c>
      <c r="G95" s="291" t="str">
        <f>IF($E$96=4,4,IF($E$97=5,5,IF($E$98=6,6,IF($E$99=7,7,IF($E$100=8,8,IF($E$101=9,9,IF($E$102=10,10,IF($E$103=11,11,IF($E$104=12,12,IF($E$105=13,13,IF($E$106=14,14,"onwaar")))))))))))</f>
        <v>onwaar</v>
      </c>
      <c r="H95" s="297"/>
      <c r="J95" s="477"/>
      <c r="K95" s="477"/>
      <c r="M95" s="113">
        <v>3</v>
      </c>
      <c r="AJ95" s="135" t="s">
        <v>2887</v>
      </c>
      <c r="AX95" s="165" t="s">
        <v>1684</v>
      </c>
      <c r="AY95" s="135" t="s">
        <v>514</v>
      </c>
      <c r="AZ95" s="206" t="e">
        <f>VLOOKUP(AY95,'Tarieven ZIN prestaties'!$B$1:$D$84,2,FALSE)</f>
        <v>#N/A</v>
      </c>
      <c r="BA95" s="207"/>
      <c r="BR95" s="135">
        <v>508</v>
      </c>
      <c r="BS95" s="135" t="s">
        <v>2698</v>
      </c>
      <c r="ET95" s="135" t="s">
        <v>2912</v>
      </c>
      <c r="EU95" s="135" t="s">
        <v>2983</v>
      </c>
    </row>
    <row r="96" spans="2:160" ht="18.75" hidden="1" x14ac:dyDescent="0.3">
      <c r="C96" s="291" t="s">
        <v>3329</v>
      </c>
      <c r="D96" s="297">
        <f t="shared" si="41"/>
        <v>0</v>
      </c>
      <c r="E96" s="298">
        <f>IF(AND(D96&lt;&gt;D95,D96&lt;&gt;D94,D96&lt;&gt;D93),E95+1,E95)</f>
        <v>1</v>
      </c>
      <c r="F96" s="291">
        <f t="shared" si="42"/>
        <v>0</v>
      </c>
      <c r="G96" s="291" t="str">
        <f t="shared" ref="G96:G106" si="43">IF(E96=2,2,IF($E$95=3,3,IF($E$96=4,4,IF($E$97=5,5,IF($E$98=6,6,IF($E$99=7,7,IF($E$100=8,8,IF($E$101=9,9,IF($E$102=10,10,IF($E$103=11,11,IF($E$104=12,12,IF($E$105=13,13,IF($E$106=14,14,"onwaar")))))))))))))</f>
        <v>onwaar</v>
      </c>
      <c r="H96" s="297"/>
      <c r="J96" s="477"/>
      <c r="K96" s="477"/>
      <c r="M96" s="113">
        <v>4</v>
      </c>
      <c r="AJ96" s="135" t="s">
        <v>2888</v>
      </c>
      <c r="AX96" s="165" t="s">
        <v>1685</v>
      </c>
      <c r="AY96" s="135" t="s">
        <v>552</v>
      </c>
      <c r="AZ96" s="206" t="e">
        <f>VLOOKUP(AY96,'Tarieven ZIN prestaties'!$B$1:$D$84,2,FALSE)</f>
        <v>#N/A</v>
      </c>
      <c r="BA96" s="207"/>
      <c r="BR96" s="135">
        <v>509</v>
      </c>
      <c r="BS96" s="135" t="s">
        <v>2697</v>
      </c>
      <c r="ET96" s="135" t="s">
        <v>2911</v>
      </c>
      <c r="EU96" s="135" t="s">
        <v>2800</v>
      </c>
    </row>
    <row r="97" spans="2:151" ht="18.75" hidden="1" x14ac:dyDescent="0.3">
      <c r="C97" s="291" t="s">
        <v>3330</v>
      </c>
      <c r="D97" s="297">
        <f t="shared" si="41"/>
        <v>0</v>
      </c>
      <c r="E97" s="298" t="str">
        <f>IF(AND(D97&lt;&gt;D96,D97&lt;&gt;D95,D97&lt;&gt;D94,D97&lt;&gt;D93),E96+1," ")</f>
        <v xml:space="preserve"> </v>
      </c>
      <c r="F97" s="291">
        <f t="shared" si="42"/>
        <v>0</v>
      </c>
      <c r="G97" s="291" t="str">
        <f t="shared" si="43"/>
        <v>onwaar</v>
      </c>
      <c r="H97" s="297"/>
      <c r="J97" s="477"/>
      <c r="K97" s="477"/>
      <c r="M97" s="113">
        <v>5</v>
      </c>
      <c r="AJ97" s="135" t="s">
        <v>2889</v>
      </c>
      <c r="AX97" s="165" t="s">
        <v>1686</v>
      </c>
      <c r="AY97" s="135" t="s">
        <v>558</v>
      </c>
      <c r="AZ97" s="206" t="e">
        <f>VLOOKUP(AY97,'Tarieven ZIN prestaties'!$B$1:$D$84,2,FALSE)</f>
        <v>#N/A</v>
      </c>
      <c r="BA97" s="207"/>
      <c r="BR97" s="135">
        <v>510</v>
      </c>
      <c r="BS97" s="135" t="s">
        <v>2697</v>
      </c>
      <c r="ET97" s="135" t="s">
        <v>2913</v>
      </c>
      <c r="EU97" s="135" t="s">
        <v>2984</v>
      </c>
    </row>
    <row r="98" spans="2:151" ht="18.75" hidden="1" x14ac:dyDescent="0.3">
      <c r="C98" s="291" t="s">
        <v>3331</v>
      </c>
      <c r="D98" s="297">
        <f t="shared" si="41"/>
        <v>0</v>
      </c>
      <c r="E98" s="298" t="str">
        <f>IF(AND(D98&lt;&gt;D97,D98&lt;&gt;D96,D98&lt;&gt;D95,D96&lt;&gt;D94,D96&lt;&gt;D93),E97+1,E97)</f>
        <v xml:space="preserve"> </v>
      </c>
      <c r="F98" s="291">
        <f t="shared" si="42"/>
        <v>0</v>
      </c>
      <c r="G98" s="291" t="str">
        <f t="shared" si="43"/>
        <v>onwaar</v>
      </c>
      <c r="H98" s="297"/>
      <c r="J98" s="477"/>
      <c r="K98" s="477"/>
      <c r="M98" s="113">
        <v>6</v>
      </c>
      <c r="AJ98" s="135" t="s">
        <v>2890</v>
      </c>
      <c r="AX98" s="165" t="s">
        <v>1687</v>
      </c>
      <c r="AY98" s="135" t="s">
        <v>446</v>
      </c>
      <c r="AZ98" s="206" t="e">
        <f>VLOOKUP(AY98,'Tarieven ZIN prestaties'!$B$1:$D$84,2,FALSE)</f>
        <v>#N/A</v>
      </c>
      <c r="BA98" s="207"/>
      <c r="BR98" s="135">
        <v>511</v>
      </c>
      <c r="BS98" s="135" t="s">
        <v>2697</v>
      </c>
      <c r="ET98" s="135" t="s">
        <v>2914</v>
      </c>
      <c r="EU98" s="135" t="s">
        <v>2801</v>
      </c>
    </row>
    <row r="99" spans="2:151" ht="18.75" hidden="1" x14ac:dyDescent="0.3">
      <c r="C99" s="291" t="s">
        <v>3332</v>
      </c>
      <c r="D99" s="297">
        <f t="shared" si="41"/>
        <v>0</v>
      </c>
      <c r="E99" s="298" t="str">
        <f>IF(AND(D99&lt;&gt;D98,D99&lt;&gt;D97,D99&lt;&gt;D96,D99&lt;&gt;D95,D99&lt;&gt;D94,D99&lt;&gt;D93),E98+1,E98)</f>
        <v xml:space="preserve"> </v>
      </c>
      <c r="F99" s="291">
        <f t="shared" si="42"/>
        <v>0</v>
      </c>
      <c r="G99" s="291" t="str">
        <f t="shared" si="43"/>
        <v>onwaar</v>
      </c>
      <c r="H99" s="297"/>
      <c r="J99" s="477"/>
      <c r="K99" s="477"/>
      <c r="M99" s="113">
        <v>7</v>
      </c>
      <c r="AJ99" s="135" t="s">
        <v>2891</v>
      </c>
      <c r="AX99" s="165" t="s">
        <v>1772</v>
      </c>
      <c r="AY99" s="135" t="s">
        <v>453</v>
      </c>
      <c r="AZ99" s="206" t="e">
        <f>VLOOKUP(AY99,'Tarieven ZIN prestaties'!$B$1:$D$84,2,FALSE)</f>
        <v>#N/A</v>
      </c>
      <c r="BA99" s="207"/>
      <c r="BR99" s="135">
        <v>512</v>
      </c>
      <c r="BS99" s="135" t="s">
        <v>2697</v>
      </c>
      <c r="ET99" s="135" t="s">
        <v>2920</v>
      </c>
      <c r="EU99" s="135" t="s">
        <v>2988</v>
      </c>
    </row>
    <row r="100" spans="2:151" ht="18.75" hidden="1" x14ac:dyDescent="0.3">
      <c r="C100" s="291" t="s">
        <v>3333</v>
      </c>
      <c r="D100" s="297">
        <f t="shared" si="41"/>
        <v>0</v>
      </c>
      <c r="E100" s="298" t="str">
        <f>IF(AND(D100&lt;&gt;D99,D100&lt;&gt;D98,D100&lt;&gt;D97,D100&lt;&gt;D96,D100&lt;&gt;D95,D100&lt;&gt;D94,D100&lt;&gt;D93),E99+1,E99)</f>
        <v xml:space="preserve"> </v>
      </c>
      <c r="F100" s="291">
        <f t="shared" si="42"/>
        <v>0</v>
      </c>
      <c r="G100" s="291" t="str">
        <f t="shared" si="43"/>
        <v>onwaar</v>
      </c>
      <c r="H100" s="297"/>
      <c r="J100" s="477"/>
      <c r="K100" s="477"/>
      <c r="M100" s="113">
        <v>8</v>
      </c>
      <c r="AJ100" s="135" t="s">
        <v>2892</v>
      </c>
      <c r="AX100" s="165" t="s">
        <v>1688</v>
      </c>
      <c r="AY100" s="135" t="s">
        <v>443</v>
      </c>
      <c r="AZ100" s="206" t="e">
        <f>VLOOKUP(AY100,'Tarieven ZIN prestaties'!$B$1:$D$84,2,FALSE)</f>
        <v>#N/A</v>
      </c>
      <c r="BA100" s="207"/>
      <c r="BR100" s="135">
        <v>513</v>
      </c>
      <c r="BS100" s="135" t="s">
        <v>2697</v>
      </c>
      <c r="ET100" s="135" t="s">
        <v>2917</v>
      </c>
      <c r="EU100" s="135" t="s">
        <v>2985</v>
      </c>
    </row>
    <row r="101" spans="2:151" ht="18.75" hidden="1" x14ac:dyDescent="0.3">
      <c r="C101" s="291" t="s">
        <v>3334</v>
      </c>
      <c r="D101" s="297">
        <f t="shared" si="41"/>
        <v>0</v>
      </c>
      <c r="E101" s="298" t="str">
        <f>IF(AND(D101&lt;&gt;D100,D101&lt;&gt;D99,D101&lt;&gt;D98,D101&lt;&gt;D97,D101&lt;&gt;D96,D101&lt;&gt;D95,D101&lt;&gt;D94,D101&lt;&gt;D93),E100+1,E100)</f>
        <v xml:space="preserve"> </v>
      </c>
      <c r="F101" s="291">
        <f t="shared" si="42"/>
        <v>0</v>
      </c>
      <c r="G101" s="291" t="str">
        <f t="shared" si="43"/>
        <v>onwaar</v>
      </c>
      <c r="H101" s="297"/>
      <c r="M101" s="113">
        <v>9</v>
      </c>
      <c r="AJ101" s="135" t="s">
        <v>2893</v>
      </c>
      <c r="AX101" s="376" t="s">
        <v>1800</v>
      </c>
      <c r="AY101" s="377" t="s">
        <v>2553</v>
      </c>
      <c r="AZ101" s="378">
        <f>VLOOKUP(AY101,'Tarieven ZIN prestaties'!$B$1:$D$84,2,FALSE)</f>
        <v>272.67</v>
      </c>
      <c r="BA101" s="207"/>
      <c r="BR101" s="135">
        <v>514</v>
      </c>
      <c r="BS101" s="135" t="s">
        <v>2697</v>
      </c>
      <c r="ET101" s="135" t="s">
        <v>2923</v>
      </c>
      <c r="EU101" s="135" t="s">
        <v>2991</v>
      </c>
    </row>
    <row r="102" spans="2:151" ht="18.75" hidden="1" x14ac:dyDescent="0.3">
      <c r="C102" s="291" t="s">
        <v>3335</v>
      </c>
      <c r="D102" s="297">
        <f t="shared" si="41"/>
        <v>0</v>
      </c>
      <c r="E102" s="298" t="str">
        <f>IF(AND(D102&lt;&gt;D101,D102&lt;&gt;D100,D102&lt;&gt;D99,D102&lt;&gt;D98,D102&lt;&gt;D97,D102&lt;&gt;D96,D102&lt;&gt;D95,D102&lt;&gt;D94,D102&lt;&gt;D93),E101+1,E101)</f>
        <v xml:space="preserve"> </v>
      </c>
      <c r="F102" s="291">
        <f t="shared" si="42"/>
        <v>0</v>
      </c>
      <c r="G102" s="291" t="str">
        <f t="shared" si="43"/>
        <v>onwaar</v>
      </c>
      <c r="H102" s="297"/>
      <c r="M102" s="113">
        <v>10</v>
      </c>
      <c r="AJ102" s="135" t="s">
        <v>2894</v>
      </c>
      <c r="AX102" s="376" t="s">
        <v>1801</v>
      </c>
      <c r="AY102" s="377" t="s">
        <v>2557</v>
      </c>
      <c r="AZ102" s="378">
        <f>VLOOKUP(AY102,'Tarieven ZIN prestaties'!$B$1:$D$84,2,FALSE)</f>
        <v>264.11</v>
      </c>
      <c r="BA102" s="207"/>
      <c r="BR102" s="135">
        <v>515</v>
      </c>
      <c r="BS102" s="135" t="s">
        <v>2697</v>
      </c>
      <c r="ET102" s="135" t="s">
        <v>2915</v>
      </c>
      <c r="EU102" s="135" t="s">
        <v>2802</v>
      </c>
    </row>
    <row r="103" spans="2:151" ht="18.75" hidden="1" x14ac:dyDescent="0.3">
      <c r="C103" s="291" t="s">
        <v>3336</v>
      </c>
      <c r="D103" s="297">
        <f t="shared" si="41"/>
        <v>0</v>
      </c>
      <c r="E103" s="298"/>
      <c r="F103" s="291">
        <f t="shared" si="42"/>
        <v>0</v>
      </c>
      <c r="G103" s="291" t="str">
        <f t="shared" si="43"/>
        <v>onwaar</v>
      </c>
      <c r="H103" s="297"/>
      <c r="M103" s="113">
        <v>11</v>
      </c>
      <c r="AJ103" s="135" t="s">
        <v>2895</v>
      </c>
      <c r="AX103" s="376" t="s">
        <v>1802</v>
      </c>
      <c r="AY103" s="377" t="s">
        <v>2561</v>
      </c>
      <c r="AZ103" s="378">
        <f>VLOOKUP(AY103,'Tarieven ZIN prestaties'!$B$1:$D$84,2,FALSE)</f>
        <v>384.05</v>
      </c>
      <c r="BA103" s="207"/>
      <c r="BR103" s="135">
        <v>516</v>
      </c>
      <c r="BS103" s="135" t="s">
        <v>2697</v>
      </c>
      <c r="ET103" s="135" t="s">
        <v>2918</v>
      </c>
      <c r="EU103" s="135" t="s">
        <v>2986</v>
      </c>
    </row>
    <row r="104" spans="2:151" ht="18.75" hidden="1" x14ac:dyDescent="0.3">
      <c r="C104" s="291" t="s">
        <v>3337</v>
      </c>
      <c r="D104" s="297">
        <f t="shared" si="41"/>
        <v>0</v>
      </c>
      <c r="E104" s="298"/>
      <c r="F104" s="291">
        <f t="shared" si="42"/>
        <v>0</v>
      </c>
      <c r="G104" s="291" t="str">
        <f t="shared" si="43"/>
        <v>onwaar</v>
      </c>
      <c r="H104" s="297"/>
      <c r="M104" s="113">
        <v>12</v>
      </c>
      <c r="AJ104" s="135" t="s">
        <v>2896</v>
      </c>
      <c r="AX104" s="376" t="s">
        <v>1803</v>
      </c>
      <c r="AY104" s="377" t="s">
        <v>2565</v>
      </c>
      <c r="AZ104" s="378">
        <f>VLOOKUP(AY104,'Tarieven ZIN prestaties'!$B$1:$D$84,2,FALSE)</f>
        <v>215.37</v>
      </c>
      <c r="BA104" s="207"/>
      <c r="BR104" s="135">
        <v>580</v>
      </c>
      <c r="BS104" s="135" t="s">
        <v>2697</v>
      </c>
      <c r="ET104" s="135" t="s">
        <v>2921</v>
      </c>
      <c r="EU104" s="135" t="s">
        <v>2989</v>
      </c>
    </row>
    <row r="105" spans="2:151" ht="18.75" hidden="1" x14ac:dyDescent="0.3">
      <c r="C105" s="291" t="s">
        <v>3338</v>
      </c>
      <c r="D105" s="297">
        <f t="shared" si="41"/>
        <v>0</v>
      </c>
      <c r="E105" s="298"/>
      <c r="F105" s="291">
        <f t="shared" si="42"/>
        <v>0</v>
      </c>
      <c r="G105" s="291" t="str">
        <f t="shared" si="43"/>
        <v>onwaar</v>
      </c>
      <c r="H105" s="297"/>
      <c r="M105" s="113">
        <v>13</v>
      </c>
      <c r="AJ105" s="135" t="s">
        <v>2897</v>
      </c>
      <c r="AX105" s="376" t="s">
        <v>1799</v>
      </c>
      <c r="AY105" s="377" t="s">
        <v>2549</v>
      </c>
      <c r="AZ105" s="378">
        <f>VLOOKUP(AY105,'Tarieven ZIN prestaties'!$B$1:$D$84,2,FALSE)</f>
        <v>238.28</v>
      </c>
      <c r="BA105" s="207"/>
      <c r="BR105" s="135">
        <v>584</v>
      </c>
      <c r="BS105" s="135" t="s">
        <v>2697</v>
      </c>
      <c r="ET105" s="135" t="s">
        <v>2924</v>
      </c>
      <c r="EU105" s="135" t="s">
        <v>2992</v>
      </c>
    </row>
    <row r="106" spans="2:151" ht="18.75" hidden="1" x14ac:dyDescent="0.3">
      <c r="C106" s="291" t="s">
        <v>3339</v>
      </c>
      <c r="D106" s="297">
        <f t="shared" si="41"/>
        <v>0</v>
      </c>
      <c r="E106" s="298"/>
      <c r="F106" s="291">
        <f t="shared" si="42"/>
        <v>0</v>
      </c>
      <c r="G106" s="291" t="str">
        <f t="shared" si="43"/>
        <v>onwaar</v>
      </c>
      <c r="H106" s="297"/>
      <c r="M106" s="113">
        <v>14</v>
      </c>
      <c r="AJ106" s="135" t="s">
        <v>2898</v>
      </c>
      <c r="AX106" s="240" t="s">
        <v>2764</v>
      </c>
      <c r="AY106" s="212" t="s">
        <v>245</v>
      </c>
      <c r="AZ106" s="277">
        <f>VLOOKUP(AY106,'Tarieven VPT'!$B$6:I178,8,FALSE)</f>
        <v>70.866497876749449</v>
      </c>
      <c r="BA106" s="207"/>
      <c r="BR106" s="135">
        <v>585</v>
      </c>
      <c r="BS106" s="135" t="s">
        <v>2697</v>
      </c>
      <c r="ET106" s="135" t="s">
        <v>2916</v>
      </c>
      <c r="EU106" s="135" t="s">
        <v>2803</v>
      </c>
    </row>
    <row r="107" spans="2:151" ht="18.75" hidden="1" x14ac:dyDescent="0.3">
      <c r="D107" s="297"/>
      <c r="E107" s="298"/>
      <c r="H107" s="296"/>
      <c r="AJ107" s="135" t="s">
        <v>2899</v>
      </c>
      <c r="AX107" s="240" t="s">
        <v>2765</v>
      </c>
      <c r="AY107" s="212" t="s">
        <v>136</v>
      </c>
      <c r="AZ107" s="277">
        <f>VLOOKUP(AY107,'Tarieven VPT'!$B$6:I179,8,FALSE)</f>
        <v>93.847296149839138</v>
      </c>
      <c r="BA107" s="207"/>
      <c r="BQ107" s="135">
        <v>1</v>
      </c>
      <c r="BR107" s="135">
        <f>BQ107+1000</f>
        <v>1001</v>
      </c>
      <c r="BS107" s="135" t="s">
        <v>1813</v>
      </c>
      <c r="ET107" s="135" t="s">
        <v>2919</v>
      </c>
      <c r="EU107" s="135" t="s">
        <v>2987</v>
      </c>
    </row>
    <row r="108" spans="2:151" ht="18.75" hidden="1" x14ac:dyDescent="0.3">
      <c r="D108" s="297"/>
      <c r="E108" s="298"/>
      <c r="H108" s="296"/>
      <c r="AJ108" s="135" t="s">
        <v>2900</v>
      </c>
      <c r="AX108" s="240" t="s">
        <v>2766</v>
      </c>
      <c r="AY108" s="212" t="s">
        <v>210</v>
      </c>
      <c r="AZ108" s="277">
        <f>VLOOKUP(AY108,'Tarieven VPT'!$B$6:I180,8,FALSE)</f>
        <v>124.28669379408338</v>
      </c>
      <c r="BA108" s="207"/>
      <c r="BQ108" s="135">
        <v>2</v>
      </c>
      <c r="BR108" s="135">
        <f t="shared" ref="BR108:BR171" si="44">BQ108+1000</f>
        <v>1002</v>
      </c>
      <c r="BS108" s="135" t="s">
        <v>1814</v>
      </c>
      <c r="ET108" s="135" t="s">
        <v>2922</v>
      </c>
      <c r="EU108" s="135" t="s">
        <v>2990</v>
      </c>
    </row>
    <row r="109" spans="2:151" ht="18.75" hidden="1" x14ac:dyDescent="0.3">
      <c r="D109" s="297">
        <f ca="1">IF(M15&gt;I33,I33-M15,0)</f>
        <v>0</v>
      </c>
      <c r="H109" s="296"/>
      <c r="AJ109" s="135" t="s">
        <v>2901</v>
      </c>
      <c r="AX109" s="240" t="s">
        <v>2767</v>
      </c>
      <c r="AY109" s="212" t="s">
        <v>54</v>
      </c>
      <c r="AZ109" s="277">
        <f>VLOOKUP(AY109,'Tarieven VPT'!$B$6:I181,8,FALSE)</f>
        <v>133.83000000000001</v>
      </c>
      <c r="BA109" s="207"/>
      <c r="BQ109" s="135">
        <v>3</v>
      </c>
      <c r="BR109" s="135">
        <f t="shared" si="44"/>
        <v>1003</v>
      </c>
      <c r="BS109" s="135" t="s">
        <v>1814</v>
      </c>
      <c r="ET109" s="135" t="s">
        <v>2925</v>
      </c>
      <c r="EU109" s="135" t="s">
        <v>2993</v>
      </c>
    </row>
    <row r="110" spans="2:151" ht="18.75" hidden="1" x14ac:dyDescent="0.3">
      <c r="D110" s="297">
        <f ca="1">IF(AND(M15&gt;0,Q24="extra budget voor behandeling"),1,0)</f>
        <v>0</v>
      </c>
      <c r="H110" s="296"/>
      <c r="AJ110" s="135" t="s">
        <v>2902</v>
      </c>
      <c r="AX110" s="240" t="s">
        <v>2768</v>
      </c>
      <c r="AY110" s="212" t="s">
        <v>107</v>
      </c>
      <c r="AZ110" s="277">
        <f>VLOOKUP(AY110,'Tarieven VPT'!$B$6:I182,8,FALSE)</f>
        <v>184.07999999999998</v>
      </c>
      <c r="BA110" s="207"/>
      <c r="BQ110" s="135">
        <v>4</v>
      </c>
      <c r="BR110" s="135">
        <f t="shared" si="44"/>
        <v>1004</v>
      </c>
      <c r="BS110" s="135" t="s">
        <v>1814</v>
      </c>
      <c r="EQ110" s="212"/>
      <c r="ET110" s="135" t="s">
        <v>2995</v>
      </c>
    </row>
    <row r="111" spans="2:151" ht="18.75" hidden="1" x14ac:dyDescent="0.3">
      <c r="B111" s="291" t="s">
        <v>3358</v>
      </c>
      <c r="D111" s="292">
        <f ca="1">SUM(I32:I34)-I33</f>
        <v>0</v>
      </c>
      <c r="G111" s="291" t="s">
        <v>3619</v>
      </c>
      <c r="H111" s="296"/>
      <c r="AJ111" s="135" t="s">
        <v>2903</v>
      </c>
      <c r="AX111" s="240" t="s">
        <v>2769</v>
      </c>
      <c r="AY111" s="212" t="s">
        <v>263</v>
      </c>
      <c r="AZ111" s="277">
        <f>VLOOKUP(AY111,'Tarieven VPT'!$B$6:I183,8,FALSE)</f>
        <v>184.44</v>
      </c>
      <c r="BA111" s="207"/>
      <c r="BQ111" s="135">
        <v>5</v>
      </c>
      <c r="BR111" s="135">
        <f t="shared" si="44"/>
        <v>1005</v>
      </c>
      <c r="BS111" s="135" t="s">
        <v>1813</v>
      </c>
      <c r="EQ111" s="212"/>
      <c r="ET111" s="135" t="s">
        <v>2996</v>
      </c>
    </row>
    <row r="112" spans="2:151" ht="18.75" hidden="1" x14ac:dyDescent="0.3">
      <c r="B112" s="291" t="s">
        <v>1607</v>
      </c>
      <c r="D112" s="292">
        <f ca="1">IF(I33&lt;M15,M10+T25-I33+I42+I39,M10+T25+M12+I42+I39)</f>
        <v>0</v>
      </c>
      <c r="E112" s="292">
        <f ca="1">D112</f>
        <v>0</v>
      </c>
      <c r="G112" s="291" t="s">
        <v>3620</v>
      </c>
      <c r="H112" s="296"/>
      <c r="AJ112" s="135" t="s">
        <v>2904</v>
      </c>
      <c r="AX112" s="240" t="s">
        <v>2770</v>
      </c>
      <c r="AY112" s="212" t="s">
        <v>386</v>
      </c>
      <c r="AZ112" s="277">
        <f>VLOOKUP(AY112,'Tarieven VPT'!$B$6:I184,8,FALSE)</f>
        <v>215.67</v>
      </c>
      <c r="BA112" s="207"/>
      <c r="BQ112" s="135">
        <v>6</v>
      </c>
      <c r="BR112" s="135">
        <f t="shared" si="44"/>
        <v>1006</v>
      </c>
      <c r="BS112" s="135" t="s">
        <v>1814</v>
      </c>
      <c r="EQ112" s="212"/>
      <c r="ET112" s="135" t="s">
        <v>2997</v>
      </c>
    </row>
    <row r="113" spans="4:150" ht="18.75" hidden="1" x14ac:dyDescent="0.3">
      <c r="D113" s="292">
        <f ca="1">IF(AND(M12&gt;0,D122=0),0,D118)</f>
        <v>0</v>
      </c>
      <c r="E113" s="291" t="str">
        <f ca="1">IF(D113&gt;0,"Restant","Overschrijding")</f>
        <v>Overschrijding</v>
      </c>
      <c r="H113" s="296"/>
      <c r="AJ113" s="135" t="s">
        <v>2905</v>
      </c>
      <c r="AX113" s="240" t="s">
        <v>2771</v>
      </c>
      <c r="AY113" s="212" t="s">
        <v>306</v>
      </c>
      <c r="AZ113" s="277">
        <f>VLOOKUP(AY113,'Tarieven VPT'!$B$6:I185,8,FALSE)</f>
        <v>249.59</v>
      </c>
      <c r="BA113" s="207"/>
      <c r="BQ113" s="135">
        <v>7</v>
      </c>
      <c r="BR113" s="135">
        <f t="shared" si="44"/>
        <v>1007</v>
      </c>
      <c r="BS113" s="135" t="s">
        <v>1814</v>
      </c>
      <c r="EQ113" s="212"/>
      <c r="ET113" s="135" t="s">
        <v>3621</v>
      </c>
    </row>
    <row r="114" spans="4:150" ht="18.75" hidden="1" x14ac:dyDescent="0.3">
      <c r="E114" s="292">
        <f ca="1">IF(AND(D113=0,M12&gt;0),0,IF(E113="overschrijding",D111-E112,D113))</f>
        <v>0</v>
      </c>
      <c r="H114" s="296"/>
      <c r="AJ114" s="135" t="s">
        <v>2906</v>
      </c>
      <c r="AX114" s="240" t="s">
        <v>2772</v>
      </c>
      <c r="AY114" s="212" t="s">
        <v>574</v>
      </c>
      <c r="AZ114" s="277">
        <f>VLOOKUP(AY114,'Tarieven VPT'!$B$6:I186,8,FALSE)</f>
        <v>178.74999999999997</v>
      </c>
      <c r="BA114" s="207"/>
      <c r="BQ114" s="135">
        <v>8</v>
      </c>
      <c r="BR114" s="135">
        <f t="shared" si="44"/>
        <v>1008</v>
      </c>
      <c r="BS114" s="135" t="s">
        <v>1813</v>
      </c>
      <c r="EQ114" s="212"/>
      <c r="ET114" s="135" t="s">
        <v>2999</v>
      </c>
    </row>
    <row r="115" spans="4:150" ht="18.75" hidden="1" x14ac:dyDescent="0.3">
      <c r="H115" s="296"/>
      <c r="AJ115" s="135" t="s">
        <v>2907</v>
      </c>
      <c r="AX115" s="240" t="s">
        <v>2773</v>
      </c>
      <c r="AY115" s="212" t="s">
        <v>93</v>
      </c>
      <c r="AZ115" s="277">
        <f>VLOOKUP(AY115,'Tarieven VPT'!$B$6:I187,8,FALSE)</f>
        <v>272.34999999999997</v>
      </c>
      <c r="BA115" s="207"/>
      <c r="BQ115" s="135">
        <v>0</v>
      </c>
      <c r="BR115" s="135">
        <f t="shared" si="44"/>
        <v>1000</v>
      </c>
      <c r="BS115" s="135" t="s">
        <v>1814</v>
      </c>
      <c r="EQ115" s="212"/>
      <c r="ET115" s="135" t="s">
        <v>3000</v>
      </c>
    </row>
    <row r="116" spans="4:150" ht="18.75" hidden="1" x14ac:dyDescent="0.3">
      <c r="H116" s="296"/>
      <c r="AJ116" s="135" t="s">
        <v>2908</v>
      </c>
      <c r="AX116" s="240" t="s">
        <v>2926</v>
      </c>
      <c r="AY116" s="212" t="s">
        <v>291</v>
      </c>
      <c r="AZ116" s="277">
        <f>VLOOKUP(AY116,'Tarieven VPT'!$B$6:I188,8,FALSE)</f>
        <v>146.31395433561758</v>
      </c>
      <c r="BA116" s="207"/>
      <c r="BQ116" s="135">
        <v>13</v>
      </c>
      <c r="BR116" s="135">
        <f t="shared" si="44"/>
        <v>1013</v>
      </c>
      <c r="BS116" s="135" t="s">
        <v>1164</v>
      </c>
      <c r="EQ116" s="212"/>
      <c r="ET116" s="135" t="s">
        <v>3001</v>
      </c>
    </row>
    <row r="117" spans="4:150" ht="18.75" hidden="1" x14ac:dyDescent="0.3">
      <c r="H117" s="296"/>
      <c r="AJ117" s="135" t="s">
        <v>2909</v>
      </c>
      <c r="AX117" s="240" t="s">
        <v>2927</v>
      </c>
      <c r="AY117" s="212" t="s">
        <v>167</v>
      </c>
      <c r="AZ117" s="277">
        <f>VLOOKUP(AY117,'Tarieven VPT'!$B$6:I189,8,FALSE)</f>
        <v>156.45000000000002</v>
      </c>
      <c r="BA117" s="207">
        <v>31.96</v>
      </c>
      <c r="BQ117" s="135">
        <v>85</v>
      </c>
      <c r="BR117" s="135">
        <f t="shared" si="44"/>
        <v>1085</v>
      </c>
      <c r="BS117" s="135" t="s">
        <v>1814</v>
      </c>
      <c r="EQ117" s="212"/>
      <c r="ET117" s="135" t="s">
        <v>3002</v>
      </c>
    </row>
    <row r="118" spans="4:150" ht="18.75" hidden="1" x14ac:dyDescent="0.3">
      <c r="D118" s="292">
        <f ca="1">$E$112-$D$111</f>
        <v>0</v>
      </c>
      <c r="H118" s="296"/>
      <c r="AJ118" s="135" t="s">
        <v>2910</v>
      </c>
      <c r="AX118" s="240" t="s">
        <v>2928</v>
      </c>
      <c r="AY118" s="212" t="s">
        <v>378</v>
      </c>
      <c r="AZ118" s="277">
        <f>VLOOKUP(AY118,'Tarieven VPT'!$B$6:I190,8,FALSE)</f>
        <v>208.48</v>
      </c>
      <c r="BA118" s="276">
        <v>34.369999999999997</v>
      </c>
      <c r="BQ118" s="135">
        <v>84</v>
      </c>
      <c r="BR118" s="135">
        <f t="shared" si="44"/>
        <v>1084</v>
      </c>
      <c r="BS118" s="135" t="s">
        <v>1814</v>
      </c>
      <c r="EQ118" s="212"/>
      <c r="ET118" s="135" t="s">
        <v>3003</v>
      </c>
    </row>
    <row r="119" spans="4:150" ht="18.75" hidden="1" x14ac:dyDescent="0.3">
      <c r="H119" s="296"/>
      <c r="AJ119" s="135" t="s">
        <v>2911</v>
      </c>
      <c r="AX119" s="240" t="s">
        <v>2929</v>
      </c>
      <c r="AY119" s="212" t="s">
        <v>340</v>
      </c>
      <c r="AZ119" s="277">
        <f>VLOOKUP(AY119,'Tarieven VPT'!$B$6:I191,8,FALSE)</f>
        <v>208.83</v>
      </c>
      <c r="BA119" s="276">
        <v>28.7</v>
      </c>
      <c r="BQ119" s="135">
        <v>83</v>
      </c>
      <c r="BR119" s="135">
        <f t="shared" si="44"/>
        <v>1083</v>
      </c>
      <c r="BS119" s="135" t="s">
        <v>1814</v>
      </c>
      <c r="EQ119" s="212"/>
      <c r="ET119" s="135" t="s">
        <v>3004</v>
      </c>
    </row>
    <row r="120" spans="4:150" ht="18.75" hidden="1" x14ac:dyDescent="0.3">
      <c r="H120" s="296"/>
      <c r="AJ120" s="135" t="s">
        <v>2912</v>
      </c>
      <c r="AX120" s="240" t="s">
        <v>2930</v>
      </c>
      <c r="AY120" s="212" t="s">
        <v>268</v>
      </c>
      <c r="AZ120" s="277">
        <f>VLOOKUP(AY120,'Tarieven VPT'!$B$6:I192,8,FALSE)</f>
        <v>248.6</v>
      </c>
      <c r="BA120" s="276"/>
      <c r="BQ120" s="135">
        <v>80</v>
      </c>
      <c r="BR120" s="135">
        <f t="shared" si="44"/>
        <v>1080</v>
      </c>
      <c r="BS120" s="135" t="s">
        <v>1814</v>
      </c>
      <c r="EQ120" s="212"/>
      <c r="ET120" s="135" t="s">
        <v>3005</v>
      </c>
    </row>
    <row r="121" spans="4:150" ht="18.75" hidden="1" x14ac:dyDescent="0.3">
      <c r="D121" s="292">
        <f ca="1">D118-M12</f>
        <v>0</v>
      </c>
      <c r="H121" s="296"/>
      <c r="AJ121" s="135" t="s">
        <v>2913</v>
      </c>
      <c r="AX121" s="240" t="s">
        <v>2931</v>
      </c>
      <c r="AY121" s="212" t="s">
        <v>197</v>
      </c>
      <c r="AZ121" s="277">
        <f>VLOOKUP(AY121,'Tarieven VPT'!$B$6:I193,8,FALSE)</f>
        <v>282.45</v>
      </c>
      <c r="BA121" s="276">
        <v>222.74</v>
      </c>
      <c r="BQ121" s="135">
        <v>88</v>
      </c>
      <c r="BR121" s="135">
        <f t="shared" si="44"/>
        <v>1088</v>
      </c>
      <c r="BS121" s="135" t="s">
        <v>1813</v>
      </c>
      <c r="EQ121" s="212"/>
      <c r="ET121" s="135" t="s">
        <v>3006</v>
      </c>
    </row>
    <row r="122" spans="4:150" ht="18.75" hidden="1" x14ac:dyDescent="0.3">
      <c r="D122" s="291">
        <f ca="1">IF(OR(D121&gt;2,D121&lt;2),1,0)</f>
        <v>1</v>
      </c>
      <c r="H122" s="296"/>
      <c r="AJ122" s="135" t="s">
        <v>2914</v>
      </c>
      <c r="AX122" s="240" t="s">
        <v>2932</v>
      </c>
      <c r="AY122" s="212" t="s">
        <v>576</v>
      </c>
      <c r="AZ122" s="277">
        <f>VLOOKUP(AY122,'Tarieven VPT'!$B$6:I194,8,FALSE)</f>
        <v>245.85</v>
      </c>
      <c r="BA122" s="276">
        <v>254.89</v>
      </c>
      <c r="BQ122" s="135">
        <v>101</v>
      </c>
      <c r="BR122" s="135">
        <f t="shared" si="44"/>
        <v>1101</v>
      </c>
      <c r="BS122" s="135" t="s">
        <v>1819</v>
      </c>
      <c r="EQ122" s="212"/>
      <c r="ET122" s="135" t="s">
        <v>3007</v>
      </c>
    </row>
    <row r="123" spans="4:150" ht="18.75" hidden="1" x14ac:dyDescent="0.3">
      <c r="H123" s="296"/>
      <c r="AJ123" s="135" t="s">
        <v>2915</v>
      </c>
      <c r="AX123" s="240" t="s">
        <v>2933</v>
      </c>
      <c r="AY123" s="212" t="s">
        <v>188</v>
      </c>
      <c r="AZ123" s="277">
        <f>VLOOKUP(AY123,'Tarieven VPT'!$B$6:I195,8,FALSE)</f>
        <v>305.32</v>
      </c>
      <c r="BA123" s="276">
        <v>246.48</v>
      </c>
      <c r="BQ123" s="135">
        <v>102</v>
      </c>
      <c r="BR123" s="135">
        <f t="shared" si="44"/>
        <v>1102</v>
      </c>
      <c r="BS123" s="135" t="s">
        <v>1819</v>
      </c>
      <c r="EQ123" s="212"/>
      <c r="ET123" s="135" t="s">
        <v>3008</v>
      </c>
    </row>
    <row r="124" spans="4:150" ht="18.75" hidden="1" x14ac:dyDescent="0.3">
      <c r="H124" s="296"/>
      <c r="AJ124" s="135" t="s">
        <v>2916</v>
      </c>
      <c r="AX124" s="240" t="s">
        <v>2774</v>
      </c>
      <c r="AY124" s="212" t="s">
        <v>158</v>
      </c>
      <c r="AZ124" s="277">
        <f>VLOOKUP(AY124,'Tarieven VPT'!$B$6:I196,8,FALSE)</f>
        <v>55.068190648887601</v>
      </c>
      <c r="BA124" s="276"/>
      <c r="EQ124" s="212"/>
      <c r="ET124" s="135" t="s">
        <v>3009</v>
      </c>
    </row>
    <row r="125" spans="4:150" ht="18.75" hidden="1" x14ac:dyDescent="0.3">
      <c r="H125" s="296"/>
      <c r="AJ125" s="135" t="s">
        <v>2917</v>
      </c>
      <c r="AX125" s="240" t="s">
        <v>2775</v>
      </c>
      <c r="AY125" s="212" t="s">
        <v>252</v>
      </c>
      <c r="AZ125" s="277">
        <f>VLOOKUP(AY125,'Tarieven VPT'!$B$6:I197,8,FALSE)</f>
        <v>67.60618872459284</v>
      </c>
      <c r="BA125" s="276"/>
      <c r="BQ125" s="135">
        <v>103</v>
      </c>
      <c r="BR125" s="135">
        <f t="shared" si="44"/>
        <v>1103</v>
      </c>
      <c r="BS125" s="135" t="s">
        <v>1819</v>
      </c>
      <c r="EQ125" s="212"/>
      <c r="ET125" s="135" t="s">
        <v>3010</v>
      </c>
    </row>
    <row r="126" spans="4:150" ht="18.75" hidden="1" x14ac:dyDescent="0.3">
      <c r="H126" s="296"/>
      <c r="AJ126" s="135" t="s">
        <v>2918</v>
      </c>
      <c r="AX126" s="240" t="s">
        <v>2934</v>
      </c>
      <c r="AY126" s="212" t="s">
        <v>79</v>
      </c>
      <c r="AZ126" s="277">
        <f>VLOOKUP(AY126,'Tarieven VPT'!$B$6:I198,8,FALSE)</f>
        <v>96.415050082640221</v>
      </c>
      <c r="BA126" s="276"/>
      <c r="BQ126" s="135">
        <v>104</v>
      </c>
      <c r="BR126" s="135">
        <f t="shared" si="44"/>
        <v>1104</v>
      </c>
      <c r="BS126" s="135" t="s">
        <v>1819</v>
      </c>
      <c r="EQ126" s="212"/>
      <c r="ET126" s="135" t="s">
        <v>3011</v>
      </c>
    </row>
    <row r="127" spans="4:150" ht="18.75" hidden="1" x14ac:dyDescent="0.3">
      <c r="H127" s="296"/>
      <c r="AJ127" s="135" t="s">
        <v>2919</v>
      </c>
      <c r="AX127" s="240" t="s">
        <v>2935</v>
      </c>
      <c r="AY127" s="212" t="s">
        <v>177</v>
      </c>
      <c r="AZ127" s="277">
        <f>VLOOKUP(AY127,'Tarieven VPT'!$B$6:I199,8,FALSE)</f>
        <v>107.75625777497906</v>
      </c>
      <c r="BA127" s="276"/>
      <c r="BQ127" s="135">
        <v>105</v>
      </c>
      <c r="BR127" s="135">
        <f t="shared" si="44"/>
        <v>1105</v>
      </c>
      <c r="BS127" s="135" t="s">
        <v>1819</v>
      </c>
    </row>
    <row r="128" spans="4:150" ht="18.75" hidden="1" x14ac:dyDescent="0.3">
      <c r="H128" s="296"/>
      <c r="AJ128" s="135" t="s">
        <v>2920</v>
      </c>
      <c r="AX128" s="240" t="s">
        <v>2776</v>
      </c>
      <c r="AY128" s="212" t="s">
        <v>220</v>
      </c>
      <c r="AZ128" s="277">
        <f>VLOOKUP(AY128,'Tarieven VPT'!$B$6:I200,8,FALSE)</f>
        <v>93.287151444190116</v>
      </c>
      <c r="BA128" s="276"/>
      <c r="BQ128" s="135">
        <v>106</v>
      </c>
      <c r="BR128" s="135">
        <f t="shared" si="44"/>
        <v>1106</v>
      </c>
      <c r="BS128" s="135" t="s">
        <v>1819</v>
      </c>
    </row>
    <row r="129" spans="8:71" ht="18.75" hidden="1" x14ac:dyDescent="0.3">
      <c r="H129" s="296"/>
      <c r="AJ129" s="135" t="s">
        <v>2921</v>
      </c>
      <c r="AX129" s="240" t="s">
        <v>2777</v>
      </c>
      <c r="AY129" s="212" t="s">
        <v>275</v>
      </c>
      <c r="AZ129" s="277">
        <f>VLOOKUP(AY129,'Tarieven VPT'!$B$6:I201,8,FALSE)</f>
        <v>114.18009999028516</v>
      </c>
      <c r="BA129" s="276"/>
      <c r="BQ129" s="135">
        <v>107</v>
      </c>
      <c r="BR129" s="135">
        <f t="shared" si="44"/>
        <v>1107</v>
      </c>
      <c r="BS129" s="135" t="s">
        <v>1819</v>
      </c>
    </row>
    <row r="130" spans="8:71" ht="18.75" hidden="1" x14ac:dyDescent="0.3">
      <c r="H130" s="296"/>
      <c r="AJ130" s="135" t="s">
        <v>2922</v>
      </c>
      <c r="AX130" s="240" t="s">
        <v>2778</v>
      </c>
      <c r="AY130" s="212" t="s">
        <v>288</v>
      </c>
      <c r="AZ130" s="277">
        <f>VLOOKUP(AY130,'Tarieven VPT'!$B$6:I202,8,FALSE)</f>
        <v>152.73167493660105</v>
      </c>
      <c r="BA130" s="276"/>
      <c r="BQ130" s="135">
        <v>108</v>
      </c>
      <c r="BR130" s="135">
        <f t="shared" si="44"/>
        <v>1108</v>
      </c>
      <c r="BS130" s="135" t="s">
        <v>1819</v>
      </c>
    </row>
    <row r="131" spans="8:71" ht="18.75" hidden="1" x14ac:dyDescent="0.3">
      <c r="H131" s="296"/>
      <c r="AJ131" s="135" t="s">
        <v>2923</v>
      </c>
      <c r="AX131" s="240" t="s">
        <v>2779</v>
      </c>
      <c r="AY131" s="212" t="s">
        <v>310</v>
      </c>
      <c r="AZ131" s="277">
        <f>VLOOKUP(AY131,'Tarieven VPT'!$B$6:I203,8,FALSE)</f>
        <v>119.0066787459839</v>
      </c>
      <c r="BA131" s="276"/>
      <c r="BQ131" s="135">
        <v>109</v>
      </c>
      <c r="BR131" s="135">
        <f t="shared" si="44"/>
        <v>1109</v>
      </c>
      <c r="BS131" s="135" t="s">
        <v>1819</v>
      </c>
    </row>
    <row r="132" spans="8:71" ht="18.75" hidden="1" x14ac:dyDescent="0.3">
      <c r="H132" s="296"/>
      <c r="AJ132" s="135" t="s">
        <v>2924</v>
      </c>
      <c r="AX132" s="240" t="s">
        <v>2780</v>
      </c>
      <c r="AY132" s="212" t="s">
        <v>147</v>
      </c>
      <c r="AZ132" s="277">
        <f>VLOOKUP(AY132,'Tarieven VPT'!$B$6:I204,8,FALSE)</f>
        <v>165.86764084009522</v>
      </c>
      <c r="BA132" s="276"/>
      <c r="BQ132" s="135">
        <v>600</v>
      </c>
      <c r="BR132" s="135">
        <f t="shared" si="44"/>
        <v>1600</v>
      </c>
      <c r="BS132" s="135" t="s">
        <v>2697</v>
      </c>
    </row>
    <row r="133" spans="8:71" ht="18.75" hidden="1" x14ac:dyDescent="0.3">
      <c r="H133" s="296"/>
      <c r="AJ133" s="135" t="s">
        <v>2925</v>
      </c>
      <c r="AX133" s="240" t="s">
        <v>2781</v>
      </c>
      <c r="AY133" s="212" t="s">
        <v>373</v>
      </c>
      <c r="AZ133" s="277">
        <f>VLOOKUP(AY133,'Tarieven VPT'!$B$6:I205,8,FALSE)</f>
        <v>179.99244424591183</v>
      </c>
      <c r="BA133" s="276"/>
      <c r="BQ133" s="135">
        <v>601</v>
      </c>
      <c r="BR133" s="135">
        <f t="shared" si="44"/>
        <v>1601</v>
      </c>
      <c r="BS133" s="135" t="s">
        <v>2697</v>
      </c>
    </row>
    <row r="134" spans="8:71" ht="18.75" hidden="1" x14ac:dyDescent="0.3">
      <c r="H134" s="296"/>
      <c r="AX134" s="240" t="s">
        <v>2936</v>
      </c>
      <c r="AY134" s="212" t="s">
        <v>266</v>
      </c>
      <c r="AZ134" s="277">
        <f>VLOOKUP(AY134,'Tarieven VPT'!$B$6:I206,8,FALSE)</f>
        <v>131.4914663364832</v>
      </c>
      <c r="BA134" s="276"/>
      <c r="BQ134" s="135">
        <v>602</v>
      </c>
      <c r="BR134" s="135">
        <f t="shared" si="44"/>
        <v>1602</v>
      </c>
      <c r="BS134" s="135" t="s">
        <v>2697</v>
      </c>
    </row>
    <row r="135" spans="8:71" ht="18.75" hidden="1" x14ac:dyDescent="0.3">
      <c r="H135" s="296"/>
      <c r="AX135" s="240" t="s">
        <v>2937</v>
      </c>
      <c r="AY135" s="212" t="s">
        <v>231</v>
      </c>
      <c r="AZ135" s="277">
        <f>VLOOKUP(AY135,'Tarieven VPT'!$B$6:I207,8,FALSE)</f>
        <v>151.54120822519087</v>
      </c>
      <c r="BA135" s="276"/>
      <c r="BQ135" s="135">
        <v>603</v>
      </c>
      <c r="BR135" s="135">
        <f t="shared" si="44"/>
        <v>1603</v>
      </c>
      <c r="BS135" s="135" t="s">
        <v>2697</v>
      </c>
    </row>
    <row r="136" spans="8:71" ht="18.75" hidden="1" x14ac:dyDescent="0.3">
      <c r="H136" s="296"/>
      <c r="AX136" s="240" t="s">
        <v>2938</v>
      </c>
      <c r="AY136" s="212" t="s">
        <v>366</v>
      </c>
      <c r="AZ136" s="277">
        <f>VLOOKUP(AY136,'Tarieven VPT'!$B$6:I208,8,FALSE)</f>
        <v>210.93112676448183</v>
      </c>
      <c r="BA136" s="276"/>
      <c r="BQ136" s="135">
        <v>604</v>
      </c>
      <c r="BR136" s="135">
        <f t="shared" si="44"/>
        <v>1604</v>
      </c>
      <c r="BS136" s="135" t="s">
        <v>2697</v>
      </c>
    </row>
    <row r="137" spans="8:71" ht="18.75" hidden="1" x14ac:dyDescent="0.3">
      <c r="H137" s="296"/>
      <c r="AX137" s="240" t="s">
        <v>2939</v>
      </c>
      <c r="AY137" s="212" t="s">
        <v>102</v>
      </c>
      <c r="AZ137" s="277">
        <f>VLOOKUP(AY137,'Tarieven VPT'!$B$6:I209,8,FALSE)</f>
        <v>175.60430021850138</v>
      </c>
      <c r="BA137" s="276"/>
      <c r="BQ137" s="135">
        <v>605</v>
      </c>
      <c r="BR137" s="135">
        <f t="shared" si="44"/>
        <v>1605</v>
      </c>
      <c r="BS137" s="135" t="s">
        <v>2698</v>
      </c>
    </row>
    <row r="138" spans="8:71" ht="18.75" hidden="1" x14ac:dyDescent="0.3">
      <c r="H138" s="296"/>
      <c r="AX138" s="240" t="s">
        <v>2940</v>
      </c>
      <c r="AY138" s="212" t="s">
        <v>142</v>
      </c>
      <c r="AZ138" s="277">
        <f>VLOOKUP(AY138,'Tarieven VPT'!$B$6:I210,8,FALSE)</f>
        <v>230.84675211815735</v>
      </c>
      <c r="BA138" s="276"/>
      <c r="BQ138" s="135">
        <v>606</v>
      </c>
      <c r="BR138" s="135">
        <f t="shared" si="44"/>
        <v>1606</v>
      </c>
      <c r="BS138" s="135" t="s">
        <v>2697</v>
      </c>
    </row>
    <row r="139" spans="8:71" ht="18.75" hidden="1" x14ac:dyDescent="0.3">
      <c r="H139" s="296"/>
      <c r="AX139" s="240" t="s">
        <v>2941</v>
      </c>
      <c r="AY139" s="212" t="s">
        <v>250</v>
      </c>
      <c r="AZ139" s="277">
        <f>VLOOKUP(AY139,'Tarieven VPT'!$B$6:I211,8,FALSE)</f>
        <v>259.80490390839009</v>
      </c>
      <c r="BA139" s="276"/>
      <c r="BQ139" s="135">
        <v>607</v>
      </c>
      <c r="BR139" s="135">
        <f t="shared" si="44"/>
        <v>1607</v>
      </c>
      <c r="BS139" s="135" t="s">
        <v>2697</v>
      </c>
    </row>
    <row r="140" spans="8:71" ht="18.75" hidden="1" x14ac:dyDescent="0.3">
      <c r="H140" s="296"/>
      <c r="AX140" s="240" t="s">
        <v>2942</v>
      </c>
      <c r="AY140" s="212" t="s">
        <v>235</v>
      </c>
      <c r="AZ140" s="277">
        <f>VLOOKUP(AY140,'Tarieven VPT'!$B$6:I212,8,FALSE)</f>
        <v>115.46805264508852</v>
      </c>
      <c r="BA140" s="276"/>
      <c r="BQ140" s="135">
        <v>608</v>
      </c>
      <c r="BR140" s="135">
        <f t="shared" si="44"/>
        <v>1608</v>
      </c>
      <c r="BS140" s="135" t="s">
        <v>2697</v>
      </c>
    </row>
    <row r="141" spans="8:71" ht="18.75" hidden="1" x14ac:dyDescent="0.3">
      <c r="H141" s="296"/>
      <c r="AX141" s="240" t="s">
        <v>2943</v>
      </c>
      <c r="AY141" s="212" t="s">
        <v>318</v>
      </c>
      <c r="AZ141" s="277">
        <f>VLOOKUP(AY141,'Tarieven VPT'!$B$6:I213,8,FALSE)</f>
        <v>152.13073370320529</v>
      </c>
      <c r="BA141" s="276"/>
      <c r="BQ141" s="135">
        <v>609</v>
      </c>
      <c r="BR141" s="135">
        <f t="shared" si="44"/>
        <v>1609</v>
      </c>
      <c r="BS141" s="135" t="s">
        <v>2697</v>
      </c>
    </row>
    <row r="142" spans="8:71" ht="18.75" hidden="1" x14ac:dyDescent="0.3">
      <c r="H142" s="296"/>
      <c r="AX142" s="240" t="s">
        <v>2944</v>
      </c>
      <c r="AY142" s="212" t="s">
        <v>202</v>
      </c>
      <c r="AZ142" s="277">
        <f>VLOOKUP(AY142,'Tarieven VPT'!$B$6:I214,8,FALSE)</f>
        <v>184.47737520901404</v>
      </c>
      <c r="BA142" s="276"/>
      <c r="BQ142" s="135">
        <v>610</v>
      </c>
      <c r="BR142" s="135">
        <f t="shared" si="44"/>
        <v>1610</v>
      </c>
      <c r="BS142" s="135" t="s">
        <v>2697</v>
      </c>
    </row>
    <row r="143" spans="8:71" ht="18.75" hidden="1" x14ac:dyDescent="0.3">
      <c r="H143" s="296"/>
      <c r="AX143" s="240" t="s">
        <v>2945</v>
      </c>
      <c r="AY143" s="212" t="s">
        <v>64</v>
      </c>
      <c r="AZ143" s="277">
        <f>VLOOKUP(AY143,'Tarieven VPT'!$B$6:I215,8,FALSE)</f>
        <v>161.16430097526481</v>
      </c>
      <c r="BA143" s="276"/>
      <c r="BQ143" s="135">
        <v>611</v>
      </c>
      <c r="BR143" s="135">
        <f t="shared" si="44"/>
        <v>1611</v>
      </c>
      <c r="BS143" s="135" t="s">
        <v>2697</v>
      </c>
    </row>
    <row r="144" spans="8:71" ht="18.75" hidden="1" x14ac:dyDescent="0.3">
      <c r="H144" s="296"/>
      <c r="AX144" s="240" t="s">
        <v>2946</v>
      </c>
      <c r="AY144" s="212" t="s">
        <v>329</v>
      </c>
      <c r="AZ144" s="277">
        <f>VLOOKUP(AY144,'Tarieven VPT'!$B$6:I216,8,FALSE)</f>
        <v>239.27611006464548</v>
      </c>
      <c r="BA144" s="276"/>
      <c r="BQ144" s="135">
        <v>612</v>
      </c>
      <c r="BR144" s="135">
        <f t="shared" si="44"/>
        <v>1612</v>
      </c>
      <c r="BS144" s="135" t="s">
        <v>2697</v>
      </c>
    </row>
    <row r="145" spans="8:71" ht="18.75" hidden="1" x14ac:dyDescent="0.3">
      <c r="H145" s="296"/>
      <c r="AX145" s="240" t="s">
        <v>2947</v>
      </c>
      <c r="AY145" s="212" t="s">
        <v>282</v>
      </c>
      <c r="AZ145" s="277">
        <f>VLOOKUP(AY145,'Tarieven VPT'!$B$6:I217,8,FALSE)</f>
        <v>223.72966023292321</v>
      </c>
      <c r="BA145" s="276"/>
      <c r="BQ145" s="135">
        <v>613</v>
      </c>
      <c r="BR145" s="135">
        <f t="shared" si="44"/>
        <v>1613</v>
      </c>
      <c r="BS145" s="135" t="s">
        <v>2697</v>
      </c>
    </row>
    <row r="146" spans="8:71" ht="18.75" hidden="1" x14ac:dyDescent="0.3">
      <c r="H146" s="296"/>
      <c r="AX146" s="240" t="s">
        <v>2948</v>
      </c>
      <c r="AY146" s="212" t="s">
        <v>300</v>
      </c>
      <c r="AZ146" s="277">
        <f>VLOOKUP(AY146,'Tarieven VPT'!$B$6:I218,8,FALSE)</f>
        <v>154.70675128844843</v>
      </c>
      <c r="BA146" s="276"/>
      <c r="BQ146" s="135">
        <v>614</v>
      </c>
      <c r="BR146" s="135">
        <f t="shared" si="44"/>
        <v>1614</v>
      </c>
      <c r="BS146" s="135" t="s">
        <v>2697</v>
      </c>
    </row>
    <row r="147" spans="8:71" ht="18.75" hidden="1" x14ac:dyDescent="0.3">
      <c r="H147" s="296"/>
      <c r="AX147" s="240" t="s">
        <v>2949</v>
      </c>
      <c r="AY147" s="212" t="s">
        <v>105</v>
      </c>
      <c r="AZ147" s="277">
        <f>VLOOKUP(AY147,'Tarieven VPT'!$B$6:I219,8,FALSE)</f>
        <v>179.36590562348201</v>
      </c>
      <c r="BA147" s="276"/>
      <c r="BQ147" s="135">
        <v>615</v>
      </c>
      <c r="BR147" s="135">
        <f t="shared" si="44"/>
        <v>1615</v>
      </c>
      <c r="BS147" s="135" t="s">
        <v>2697</v>
      </c>
    </row>
    <row r="148" spans="8:71" ht="18.75" hidden="1" x14ac:dyDescent="0.3">
      <c r="H148" s="296"/>
      <c r="AX148" s="240" t="s">
        <v>2950</v>
      </c>
      <c r="AY148" s="212" t="s">
        <v>350</v>
      </c>
      <c r="AZ148" s="277">
        <f>VLOOKUP(AY148,'Tarieven VPT'!$B$6:I220,8,FALSE)</f>
        <v>245.14695216184711</v>
      </c>
      <c r="BA148" s="276"/>
      <c r="BQ148" s="135">
        <v>616</v>
      </c>
      <c r="BR148" s="135">
        <f t="shared" si="44"/>
        <v>1616</v>
      </c>
      <c r="BS148" s="135" t="s">
        <v>2697</v>
      </c>
    </row>
    <row r="149" spans="8:71" ht="18.75" hidden="1" x14ac:dyDescent="0.3">
      <c r="H149" s="296"/>
      <c r="AX149" s="240" t="s">
        <v>2951</v>
      </c>
      <c r="AY149" s="212" t="s">
        <v>223</v>
      </c>
      <c r="AZ149" s="277">
        <f>VLOOKUP(AY149,'Tarieven VPT'!$B$6:I221,8,FALSE)</f>
        <v>208.75965302995925</v>
      </c>
      <c r="BA149" s="276"/>
      <c r="BQ149" s="135">
        <v>617</v>
      </c>
      <c r="BR149" s="135">
        <f t="shared" si="44"/>
        <v>1617</v>
      </c>
      <c r="BS149" s="135" t="s">
        <v>2697</v>
      </c>
    </row>
    <row r="150" spans="8:71" ht="18.75" hidden="1" x14ac:dyDescent="0.3">
      <c r="H150" s="296"/>
      <c r="AX150" s="240" t="s">
        <v>2952</v>
      </c>
      <c r="AY150" s="212" t="s">
        <v>183</v>
      </c>
      <c r="AZ150" s="277">
        <f>VLOOKUP(AY150,'Tarieven VPT'!$B$6:I222,8,FALSE)</f>
        <v>238.35903833245359</v>
      </c>
      <c r="BA150" s="276"/>
      <c r="BQ150" s="135">
        <v>618</v>
      </c>
      <c r="BR150" s="135">
        <f t="shared" si="44"/>
        <v>1618</v>
      </c>
      <c r="BS150" s="135" t="s">
        <v>2697</v>
      </c>
    </row>
    <row r="151" spans="8:71" ht="18.75" hidden="1" x14ac:dyDescent="0.3">
      <c r="H151" s="296"/>
      <c r="AX151" s="240" t="s">
        <v>2953</v>
      </c>
      <c r="AY151" s="212" t="s">
        <v>352</v>
      </c>
      <c r="AZ151" s="277">
        <f>VLOOKUP(AY151,'Tarieven VPT'!$B$6:I223,8,FALSE)</f>
        <v>302.03622393979742</v>
      </c>
      <c r="BA151" s="276"/>
      <c r="BQ151" s="135">
        <v>619</v>
      </c>
      <c r="BR151" s="135">
        <f t="shared" si="44"/>
        <v>1619</v>
      </c>
      <c r="BS151" s="135" t="s">
        <v>2697</v>
      </c>
    </row>
    <row r="152" spans="8:71" ht="18.75" hidden="1" x14ac:dyDescent="0.3">
      <c r="H152" s="296"/>
      <c r="AX152" s="240" t="s">
        <v>2782</v>
      </c>
      <c r="AY152" s="212" t="s">
        <v>126</v>
      </c>
      <c r="AZ152" s="277">
        <f>VLOOKUP(AY152,'Tarieven VPT'!$B$6:I224,8,FALSE)</f>
        <v>181.71156252222264</v>
      </c>
      <c r="BA152" s="207"/>
      <c r="BQ152" s="135">
        <v>620</v>
      </c>
      <c r="BR152" s="135">
        <f t="shared" si="44"/>
        <v>1620</v>
      </c>
      <c r="BS152" s="135" t="s">
        <v>2697</v>
      </c>
    </row>
    <row r="153" spans="8:71" ht="18.75" hidden="1" x14ac:dyDescent="0.3">
      <c r="H153" s="296"/>
      <c r="AX153" s="240" t="s">
        <v>2783</v>
      </c>
      <c r="AY153" s="212" t="s">
        <v>257</v>
      </c>
      <c r="AZ153" s="277">
        <f>VLOOKUP(AY153,'Tarieven VPT'!$B$6:I225,8,FALSE)</f>
        <v>223.02982540497803</v>
      </c>
      <c r="BA153" s="207"/>
      <c r="BQ153" s="135">
        <v>621</v>
      </c>
      <c r="BR153" s="135">
        <f t="shared" si="44"/>
        <v>1621</v>
      </c>
      <c r="BS153" s="135" t="s">
        <v>2697</v>
      </c>
    </row>
    <row r="154" spans="8:71" ht="18.75" hidden="1" x14ac:dyDescent="0.3">
      <c r="H154" s="296"/>
      <c r="AX154" s="240" t="s">
        <v>2784</v>
      </c>
      <c r="AY154" s="212" t="s">
        <v>272</v>
      </c>
      <c r="AZ154" s="277">
        <f>VLOOKUP(AY154,'Tarieven VPT'!$B$6:I226,8,FALSE)</f>
        <v>288.0679873296308</v>
      </c>
      <c r="BA154" s="207"/>
      <c r="BQ154" s="135">
        <v>622</v>
      </c>
      <c r="BR154" s="135">
        <f t="shared" si="44"/>
        <v>1622</v>
      </c>
      <c r="BS154" s="135" t="s">
        <v>2697</v>
      </c>
    </row>
    <row r="155" spans="8:71" ht="18.75" hidden="1" x14ac:dyDescent="0.3">
      <c r="H155" s="296"/>
      <c r="AX155" s="240" t="s">
        <v>2785</v>
      </c>
      <c r="AY155" s="212" t="s">
        <v>241</v>
      </c>
      <c r="AZ155" s="277">
        <f>VLOOKUP(AY155,'Tarieven VPT'!$B$6:I227,8,FALSE)</f>
        <v>336.20734898974183</v>
      </c>
      <c r="BA155" s="207"/>
      <c r="BQ155" s="135">
        <v>623</v>
      </c>
      <c r="BR155" s="135">
        <f t="shared" si="44"/>
        <v>1623</v>
      </c>
      <c r="BS155" s="135" t="s">
        <v>2697</v>
      </c>
    </row>
    <row r="156" spans="8:71" ht="18.75" hidden="1" x14ac:dyDescent="0.3">
      <c r="H156" s="296"/>
      <c r="AX156" s="240" t="s">
        <v>2786</v>
      </c>
      <c r="AY156" s="212" t="s">
        <v>206</v>
      </c>
      <c r="AZ156" s="277">
        <f>VLOOKUP(AY156,'Tarieven VPT'!$B$6:I228,8,FALSE)</f>
        <v>318.4879602792123</v>
      </c>
      <c r="BA156" s="207"/>
      <c r="BQ156" s="135">
        <v>624</v>
      </c>
      <c r="BR156" s="135">
        <f t="shared" si="44"/>
        <v>1624</v>
      </c>
      <c r="BS156" s="135" t="s">
        <v>2697</v>
      </c>
    </row>
    <row r="157" spans="8:71" ht="18.75" hidden="1" x14ac:dyDescent="0.3">
      <c r="H157" s="296"/>
      <c r="AX157" s="240" t="s">
        <v>2787</v>
      </c>
      <c r="AY157" s="212" t="s">
        <v>566</v>
      </c>
      <c r="AZ157" s="277">
        <f>VLOOKUP(AY157,'Tarieven VPT'!$B$6:I229,8,FALSE)</f>
        <v>348.95</v>
      </c>
      <c r="BA157" s="207"/>
      <c r="BQ157" s="135">
        <v>625</v>
      </c>
      <c r="BR157" s="135">
        <f t="shared" si="44"/>
        <v>1625</v>
      </c>
      <c r="BS157" s="135" t="s">
        <v>2697</v>
      </c>
    </row>
    <row r="158" spans="8:71" ht="18.75" hidden="1" x14ac:dyDescent="0.3">
      <c r="H158" s="296"/>
      <c r="AX158" s="240" t="s">
        <v>2788</v>
      </c>
      <c r="AY158" s="212" t="s">
        <v>217</v>
      </c>
      <c r="AZ158" s="277">
        <f>VLOOKUP(AY158,'Tarieven VPT'!$B$6:I230,8,FALSE)</f>
        <v>80.184296978590254</v>
      </c>
      <c r="BA158" s="207"/>
      <c r="BQ158" s="135">
        <v>626</v>
      </c>
      <c r="BR158" s="135">
        <f t="shared" si="44"/>
        <v>1626</v>
      </c>
      <c r="BS158" s="135" t="s">
        <v>2697</v>
      </c>
    </row>
    <row r="159" spans="8:71" ht="18.75" hidden="1" x14ac:dyDescent="0.3">
      <c r="H159" s="296"/>
      <c r="AX159" s="240" t="s">
        <v>2789</v>
      </c>
      <c r="AY159" s="212" t="s">
        <v>123</v>
      </c>
      <c r="AZ159" s="277">
        <f>VLOOKUP(AY159,'Tarieven VPT'!$B$6:I231,8,FALSE)</f>
        <v>116.95853183103148</v>
      </c>
      <c r="BA159" s="207"/>
      <c r="BQ159" s="135">
        <v>627</v>
      </c>
      <c r="BR159" s="135">
        <f t="shared" si="44"/>
        <v>1627</v>
      </c>
      <c r="BS159" s="135" t="s">
        <v>2697</v>
      </c>
    </row>
    <row r="160" spans="8:71" ht="18.75" hidden="1" x14ac:dyDescent="0.3">
      <c r="H160" s="296"/>
      <c r="AX160" s="240" t="s">
        <v>2954</v>
      </c>
      <c r="AY160" s="212" t="s">
        <v>112</v>
      </c>
      <c r="AZ160" s="277">
        <f>VLOOKUP(AY160,'Tarieven VPT'!$B$6:I232,8,FALSE)</f>
        <v>137.48513266821516</v>
      </c>
      <c r="BA160" s="207"/>
      <c r="BQ160" s="135">
        <v>628</v>
      </c>
      <c r="BR160" s="135">
        <f t="shared" si="44"/>
        <v>1628</v>
      </c>
      <c r="BS160" s="135" t="s">
        <v>2697</v>
      </c>
    </row>
    <row r="161" spans="8:71" ht="18.75" hidden="1" x14ac:dyDescent="0.3">
      <c r="H161" s="296"/>
      <c r="AX161" s="240" t="s">
        <v>2955</v>
      </c>
      <c r="AY161" s="212" t="s">
        <v>278</v>
      </c>
      <c r="AZ161" s="277">
        <f>VLOOKUP(AY161,'Tarieven VPT'!$B$6:I233,8,FALSE)</f>
        <v>163.83821857130852</v>
      </c>
      <c r="BA161" s="207"/>
      <c r="BQ161" s="135">
        <v>629</v>
      </c>
      <c r="BR161" s="135">
        <f t="shared" si="44"/>
        <v>1629</v>
      </c>
      <c r="BS161" s="135" t="s">
        <v>2697</v>
      </c>
    </row>
    <row r="162" spans="8:71" ht="18.75" hidden="1" x14ac:dyDescent="0.3">
      <c r="H162" s="296"/>
      <c r="AX162" s="240" t="s">
        <v>2790</v>
      </c>
      <c r="AY162" s="212" t="s">
        <v>255</v>
      </c>
      <c r="AZ162" s="277">
        <f>VLOOKUP(AY162,'Tarieven VPT'!$B$6:I234,8,FALSE)</f>
        <v>90.655774999477799</v>
      </c>
      <c r="BA162" s="207"/>
      <c r="BQ162" s="135">
        <v>630</v>
      </c>
      <c r="BR162" s="135">
        <f t="shared" si="44"/>
        <v>1630</v>
      </c>
      <c r="BS162" s="135" t="s">
        <v>2697</v>
      </c>
    </row>
    <row r="163" spans="8:71" ht="18.75" hidden="1" x14ac:dyDescent="0.3">
      <c r="H163" s="296"/>
      <c r="AX163" s="240" t="s">
        <v>2791</v>
      </c>
      <c r="AY163" s="212" t="s">
        <v>343</v>
      </c>
      <c r="AZ163" s="277">
        <f>VLOOKUP(AY163,'Tarieven VPT'!$B$6:I235,8,FALSE)</f>
        <v>142.10788125402721</v>
      </c>
      <c r="BA163" s="207"/>
      <c r="BQ163" s="135">
        <v>631</v>
      </c>
      <c r="BR163" s="135">
        <f t="shared" si="44"/>
        <v>1631</v>
      </c>
      <c r="BS163" s="135" t="s">
        <v>2697</v>
      </c>
    </row>
    <row r="164" spans="8:71" ht="18.75" hidden="1" x14ac:dyDescent="0.3">
      <c r="H164" s="296"/>
      <c r="AX164" s="240" t="s">
        <v>2792</v>
      </c>
      <c r="AY164" s="212" t="s">
        <v>143</v>
      </c>
      <c r="AZ164" s="277">
        <f>VLOOKUP(AY164,'Tarieven VPT'!$B$6:I236,8,FALSE)</f>
        <v>143.71202121814392</v>
      </c>
      <c r="BA164" s="207"/>
      <c r="BQ164" s="135">
        <v>632</v>
      </c>
      <c r="BR164" s="135">
        <f t="shared" si="44"/>
        <v>1632</v>
      </c>
      <c r="BS164" s="135" t="s">
        <v>2697</v>
      </c>
    </row>
    <row r="165" spans="8:71" ht="18.75" hidden="1" x14ac:dyDescent="0.3">
      <c r="H165" s="296"/>
      <c r="AX165" s="240" t="s">
        <v>2793</v>
      </c>
      <c r="AY165" s="212" t="s">
        <v>228</v>
      </c>
      <c r="AZ165" s="277">
        <f>VLOOKUP(AY165,'Tarieven VPT'!$B$6:I237,8,FALSE)</f>
        <v>199.55888424457731</v>
      </c>
      <c r="BA165" s="207"/>
      <c r="BQ165" s="135">
        <v>633</v>
      </c>
      <c r="BR165" s="135">
        <f t="shared" si="44"/>
        <v>1633</v>
      </c>
      <c r="BS165" s="135" t="s">
        <v>2697</v>
      </c>
    </row>
    <row r="166" spans="8:71" ht="18.75" hidden="1" x14ac:dyDescent="0.3">
      <c r="H166" s="296"/>
      <c r="AX166" s="240" t="s">
        <v>2794</v>
      </c>
      <c r="AY166" s="212" t="s">
        <v>162</v>
      </c>
      <c r="AZ166" s="277">
        <f>VLOOKUP(AY166,'Tarieven VPT'!$B$6:I238,8,FALSE)</f>
        <v>226.16216367750789</v>
      </c>
      <c r="BA166" s="207"/>
      <c r="BQ166" s="135">
        <v>634</v>
      </c>
      <c r="BR166" s="135">
        <f t="shared" si="44"/>
        <v>1634</v>
      </c>
      <c r="BS166" s="135" t="s">
        <v>2697</v>
      </c>
    </row>
    <row r="167" spans="8:71" ht="18.75" hidden="1" x14ac:dyDescent="0.3">
      <c r="H167" s="296"/>
      <c r="AX167" s="240" t="s">
        <v>2956</v>
      </c>
      <c r="AY167" s="212" t="s">
        <v>137</v>
      </c>
      <c r="AZ167" s="277">
        <f>VLOOKUP(AY167,'Tarieven VPT'!$B$6:I239,8,FALSE)</f>
        <v>150.45595914004181</v>
      </c>
      <c r="BA167" s="207"/>
      <c r="BQ167" s="135">
        <v>635</v>
      </c>
      <c r="BR167" s="135">
        <f t="shared" si="44"/>
        <v>1635</v>
      </c>
      <c r="BS167" s="135" t="s">
        <v>2697</v>
      </c>
    </row>
    <row r="168" spans="8:71" ht="18.75" hidden="1" x14ac:dyDescent="0.3">
      <c r="H168" s="296"/>
      <c r="AX168" s="240" t="s">
        <v>2957</v>
      </c>
      <c r="AY168" s="212" t="s">
        <v>337</v>
      </c>
      <c r="AZ168" s="277">
        <f>VLOOKUP(AY168,'Tarieven VPT'!$B$6:I240,8,FALSE)</f>
        <v>190.47142705547108</v>
      </c>
      <c r="BA168" s="207"/>
      <c r="BQ168" s="135">
        <v>636</v>
      </c>
      <c r="BR168" s="135">
        <f t="shared" si="44"/>
        <v>1636</v>
      </c>
      <c r="BS168" s="135" t="s">
        <v>2697</v>
      </c>
    </row>
    <row r="169" spans="8:71" ht="18.75" hidden="1" x14ac:dyDescent="0.3">
      <c r="H169" s="296"/>
      <c r="AX169" s="240" t="s">
        <v>2958</v>
      </c>
      <c r="AY169" s="212" t="s">
        <v>156</v>
      </c>
      <c r="AZ169" s="277">
        <f>VLOOKUP(AY169,'Tarieven VPT'!$B$6:I241,8,FALSE)</f>
        <v>200.73978357890778</v>
      </c>
      <c r="BA169" s="207"/>
      <c r="BQ169" s="135">
        <v>637</v>
      </c>
      <c r="BR169" s="135">
        <f t="shared" si="44"/>
        <v>1637</v>
      </c>
      <c r="BS169" s="135" t="s">
        <v>2697</v>
      </c>
    </row>
    <row r="170" spans="8:71" ht="18.75" hidden="1" x14ac:dyDescent="0.3">
      <c r="H170" s="296"/>
      <c r="AX170" s="240" t="s">
        <v>2959</v>
      </c>
      <c r="AY170" s="212" t="s">
        <v>364</v>
      </c>
      <c r="AZ170" s="277">
        <f>VLOOKUP(AY170,'Tarieven VPT'!$B$6:I242,8,FALSE)</f>
        <v>245.51635082370001</v>
      </c>
      <c r="BA170" s="207"/>
      <c r="BQ170" s="135">
        <v>638</v>
      </c>
      <c r="BR170" s="135">
        <f t="shared" si="44"/>
        <v>1638</v>
      </c>
      <c r="BS170" s="135" t="s">
        <v>2697</v>
      </c>
    </row>
    <row r="171" spans="8:71" ht="18.75" hidden="1" x14ac:dyDescent="0.3">
      <c r="H171" s="296"/>
      <c r="AX171" s="240" t="s">
        <v>2960</v>
      </c>
      <c r="AY171" s="212" t="s">
        <v>68</v>
      </c>
      <c r="AZ171" s="277">
        <f>VLOOKUP(AY171,'Tarieven VPT'!$B$6:I243,8,FALSE)</f>
        <v>273.78000006019209</v>
      </c>
      <c r="BA171" s="207"/>
      <c r="BQ171" s="135">
        <v>639</v>
      </c>
      <c r="BR171" s="135">
        <f t="shared" si="44"/>
        <v>1639</v>
      </c>
      <c r="BS171" s="135" t="s">
        <v>2697</v>
      </c>
    </row>
    <row r="172" spans="8:71" ht="18.75" hidden="1" x14ac:dyDescent="0.3">
      <c r="H172" s="296"/>
      <c r="AX172" s="240" t="s">
        <v>2961</v>
      </c>
      <c r="AY172" s="212" t="s">
        <v>181</v>
      </c>
      <c r="AZ172" s="277">
        <f>VLOOKUP(AY172,'Tarieven VPT'!$B$6:I244,8,FALSE)</f>
        <v>113.98401609027584</v>
      </c>
      <c r="BA172" s="207"/>
      <c r="BQ172" s="135">
        <v>500</v>
      </c>
      <c r="BR172" s="135">
        <f t="shared" ref="BR172:BR191" si="45">BQ172+1000</f>
        <v>1500</v>
      </c>
      <c r="BS172" s="135" t="s">
        <v>2697</v>
      </c>
    </row>
    <row r="173" spans="8:71" ht="18.75" hidden="1" x14ac:dyDescent="0.3">
      <c r="H173" s="296"/>
      <c r="AX173" s="240" t="s">
        <v>2962</v>
      </c>
      <c r="AY173" s="212" t="s">
        <v>233</v>
      </c>
      <c r="AZ173" s="277">
        <f>VLOOKUP(AY173,'Tarieven VPT'!$B$6:I245,8,FALSE)</f>
        <v>178.61620771845716</v>
      </c>
      <c r="BA173" s="207"/>
      <c r="BQ173" s="135">
        <v>501</v>
      </c>
      <c r="BR173" s="135">
        <f t="shared" si="45"/>
        <v>1501</v>
      </c>
      <c r="BS173" s="135" t="s">
        <v>2698</v>
      </c>
    </row>
    <row r="174" spans="8:71" ht="18.75" hidden="1" x14ac:dyDescent="0.3">
      <c r="AX174" s="240" t="s">
        <v>2963</v>
      </c>
      <c r="AY174" s="212" t="s">
        <v>155</v>
      </c>
      <c r="AZ174" s="277">
        <f>VLOOKUP(AY174,'Tarieven VPT'!$B$6:I246,8,FALSE)</f>
        <v>181.07415678270959</v>
      </c>
      <c r="BA174" s="207"/>
      <c r="BQ174" s="135">
        <v>502</v>
      </c>
      <c r="BR174" s="135">
        <f t="shared" si="45"/>
        <v>1502</v>
      </c>
      <c r="BS174" s="135" t="s">
        <v>2697</v>
      </c>
    </row>
    <row r="175" spans="8:71" ht="18.75" hidden="1" x14ac:dyDescent="0.3">
      <c r="AX175" s="240" t="s">
        <v>2964</v>
      </c>
      <c r="AY175" s="212" t="s">
        <v>380</v>
      </c>
      <c r="AZ175" s="277">
        <f>VLOOKUP(AY175,'Tarieven VPT'!$B$6:I247,8,FALSE)</f>
        <v>250.41121228386868</v>
      </c>
      <c r="BA175" s="207"/>
      <c r="BQ175" s="135">
        <v>503</v>
      </c>
      <c r="BR175" s="135">
        <f t="shared" si="45"/>
        <v>1503</v>
      </c>
      <c r="BS175" s="135" t="s">
        <v>2697</v>
      </c>
    </row>
    <row r="176" spans="8:71" ht="18.75" hidden="1" x14ac:dyDescent="0.3">
      <c r="AX176" s="240" t="s">
        <v>2965</v>
      </c>
      <c r="AY176" s="212" t="s">
        <v>178</v>
      </c>
      <c r="AZ176" s="277">
        <f>VLOOKUP(AY176,'Tarieven VPT'!$B$6:I248,8,FALSE)</f>
        <v>280.48510418164119</v>
      </c>
      <c r="BA176" s="207"/>
      <c r="BQ176" s="135">
        <v>504</v>
      </c>
      <c r="BR176" s="135">
        <f t="shared" si="45"/>
        <v>1504</v>
      </c>
      <c r="BS176" s="135" t="s">
        <v>2697</v>
      </c>
    </row>
    <row r="177" spans="50:71" ht="18.75" hidden="1" x14ac:dyDescent="0.3">
      <c r="AX177" s="240" t="s">
        <v>2966</v>
      </c>
      <c r="AY177" s="212" t="s">
        <v>301</v>
      </c>
      <c r="AZ177" s="277">
        <f>VLOOKUP(AY177,'Tarieven VPT'!$B$6:I249,8,FALSE)</f>
        <v>170.01794389718569</v>
      </c>
      <c r="BA177" s="207"/>
      <c r="BQ177" s="135">
        <v>505</v>
      </c>
      <c r="BR177" s="135">
        <f t="shared" si="45"/>
        <v>1505</v>
      </c>
      <c r="BS177" s="135" t="s">
        <v>2698</v>
      </c>
    </row>
    <row r="178" spans="50:71" ht="18.75" hidden="1" x14ac:dyDescent="0.3">
      <c r="AX178" s="240" t="s">
        <v>2967</v>
      </c>
      <c r="AY178" s="212" t="s">
        <v>273</v>
      </c>
      <c r="AZ178" s="277">
        <f>VLOOKUP(AY178,'Tarieven VPT'!$B$6:I250,8,FALSE)</f>
        <v>212.40177719969586</v>
      </c>
      <c r="BA178" s="207"/>
      <c r="BQ178" s="135">
        <v>506</v>
      </c>
      <c r="BR178" s="135">
        <f t="shared" si="45"/>
        <v>1506</v>
      </c>
      <c r="BS178" s="135" t="s">
        <v>2697</v>
      </c>
    </row>
    <row r="179" spans="50:71" ht="18.75" hidden="1" x14ac:dyDescent="0.3">
      <c r="AX179" s="240" t="s">
        <v>2968</v>
      </c>
      <c r="AY179" s="212" t="s">
        <v>165</v>
      </c>
      <c r="AZ179" s="277">
        <f>VLOOKUP(AY179,'Tarieven VPT'!$B$6:I251,8,FALSE)</f>
        <v>237.09812003179636</v>
      </c>
      <c r="BA179" s="207"/>
      <c r="BQ179" s="135">
        <v>507</v>
      </c>
      <c r="BR179" s="135">
        <f t="shared" si="45"/>
        <v>1507</v>
      </c>
      <c r="BS179" s="135" t="s">
        <v>2697</v>
      </c>
    </row>
    <row r="180" spans="50:71" ht="18.75" hidden="1" x14ac:dyDescent="0.3">
      <c r="AX180" s="240" t="s">
        <v>2969</v>
      </c>
      <c r="AY180" s="212" t="s">
        <v>289</v>
      </c>
      <c r="AZ180" s="277">
        <f>VLOOKUP(AY180,'Tarieven VPT'!$B$6:I252,8,FALSE)</f>
        <v>297.57188949870442</v>
      </c>
      <c r="BA180" s="207"/>
      <c r="BQ180" s="135">
        <v>508</v>
      </c>
      <c r="BR180" s="135">
        <f t="shared" si="45"/>
        <v>1508</v>
      </c>
      <c r="BS180" s="135" t="s">
        <v>2698</v>
      </c>
    </row>
    <row r="181" spans="50:71" ht="18.75" hidden="1" x14ac:dyDescent="0.3">
      <c r="AX181" s="240" t="s">
        <v>2970</v>
      </c>
      <c r="AY181" s="212" t="s">
        <v>134</v>
      </c>
      <c r="AZ181" s="277">
        <f>VLOOKUP(AY181,'Tarieven VPT'!$B$6:I253,8,FALSE)</f>
        <v>308.92912643792488</v>
      </c>
      <c r="BA181" s="207"/>
      <c r="BQ181" s="135">
        <v>509</v>
      </c>
      <c r="BR181" s="135">
        <f t="shared" si="45"/>
        <v>1509</v>
      </c>
      <c r="BS181" s="135" t="s">
        <v>2697</v>
      </c>
    </row>
    <row r="182" spans="50:71" ht="18.75" hidden="1" x14ac:dyDescent="0.3">
      <c r="AX182" s="240" t="s">
        <v>2795</v>
      </c>
      <c r="AY182" s="212" t="s">
        <v>360</v>
      </c>
      <c r="AZ182" s="277">
        <f>VLOOKUP(AY182,'Tarieven VPT'!$B$6:I254,8,FALSE)</f>
        <v>135.04180612422513</v>
      </c>
      <c r="BA182" s="207"/>
      <c r="BQ182" s="135">
        <v>510</v>
      </c>
      <c r="BR182" s="135">
        <f t="shared" si="45"/>
        <v>1510</v>
      </c>
      <c r="BS182" s="135" t="s">
        <v>2697</v>
      </c>
    </row>
    <row r="183" spans="50:71" ht="18.75" hidden="1" x14ac:dyDescent="0.3">
      <c r="AX183" s="240" t="s">
        <v>2798</v>
      </c>
      <c r="AY183" s="212" t="s">
        <v>190</v>
      </c>
      <c r="AZ183" s="277">
        <f>VLOOKUP(AY183,'Tarieven VPT'!$B$6:I257,8,FALSE)</f>
        <v>162.69999999999999</v>
      </c>
      <c r="BA183" s="207"/>
      <c r="BQ183" s="135">
        <v>511</v>
      </c>
      <c r="BR183" s="135">
        <f t="shared" si="45"/>
        <v>1511</v>
      </c>
      <c r="BS183" s="135" t="s">
        <v>2697</v>
      </c>
    </row>
    <row r="184" spans="50:71" ht="18.75" hidden="1" x14ac:dyDescent="0.3">
      <c r="AX184" s="240" t="s">
        <v>2796</v>
      </c>
      <c r="AY184" s="212" t="s">
        <v>173</v>
      </c>
      <c r="AZ184" s="277">
        <f>VLOOKUP(AY184,'Tarieven VPT'!$B$6:I255,8,FALSE)</f>
        <v>275.89979500224422</v>
      </c>
      <c r="BA184" s="207"/>
      <c r="BQ184" s="135">
        <v>512</v>
      </c>
      <c r="BR184" s="135">
        <f t="shared" si="45"/>
        <v>1512</v>
      </c>
      <c r="BS184" s="135" t="s">
        <v>2697</v>
      </c>
    </row>
    <row r="185" spans="50:71" ht="18.75" hidden="1" x14ac:dyDescent="0.3">
      <c r="AX185" s="240" t="s">
        <v>2797</v>
      </c>
      <c r="AY185" s="212" t="s">
        <v>195</v>
      </c>
      <c r="AZ185" s="277">
        <f>VLOOKUP(AY185,'Tarieven VPT'!$B$6:I256,8,FALSE)</f>
        <v>315.84149111145734</v>
      </c>
      <c r="BA185" s="207"/>
      <c r="BQ185" s="135">
        <v>513</v>
      </c>
      <c r="BR185" s="135">
        <f t="shared" si="45"/>
        <v>1513</v>
      </c>
      <c r="BS185" s="135" t="s">
        <v>2697</v>
      </c>
    </row>
    <row r="186" spans="50:71" ht="18.75" hidden="1" x14ac:dyDescent="0.3">
      <c r="AX186" s="240" t="s">
        <v>2971</v>
      </c>
      <c r="AY186" s="212" t="s">
        <v>65</v>
      </c>
      <c r="AZ186" s="277">
        <f>VLOOKUP(AY186,'Tarieven VPT'!$B$6:I258,8,FALSE)</f>
        <v>173.85595713082924</v>
      </c>
      <c r="BA186" s="207"/>
      <c r="BQ186" s="135">
        <v>514</v>
      </c>
      <c r="BR186" s="135">
        <f t="shared" si="45"/>
        <v>1514</v>
      </c>
      <c r="BS186" s="135" t="s">
        <v>2697</v>
      </c>
    </row>
    <row r="187" spans="50:71" ht="18.75" hidden="1" x14ac:dyDescent="0.3">
      <c r="AX187" s="240" t="s">
        <v>2974</v>
      </c>
      <c r="AY187" s="212" t="s">
        <v>264</v>
      </c>
      <c r="AZ187" s="277">
        <f>VLOOKUP(AY187,'Tarieven VPT'!$B$6:I261,8,FALSE)</f>
        <v>225.79000000000002</v>
      </c>
      <c r="BA187" s="207"/>
      <c r="BQ187" s="135">
        <v>515</v>
      </c>
      <c r="BR187" s="135">
        <f t="shared" si="45"/>
        <v>1515</v>
      </c>
      <c r="BS187" s="135" t="s">
        <v>2697</v>
      </c>
    </row>
    <row r="188" spans="50:71" ht="18.75" hidden="1" x14ac:dyDescent="0.3">
      <c r="AX188" s="240" t="s">
        <v>2972</v>
      </c>
      <c r="AY188" s="212" t="s">
        <v>88</v>
      </c>
      <c r="AZ188" s="277">
        <f>VLOOKUP(AY188,'Tarieven VPT'!$B$6:I259,8,FALSE)</f>
        <v>325.66151404373363</v>
      </c>
      <c r="BA188" s="207"/>
      <c r="BQ188" s="135">
        <v>516</v>
      </c>
      <c r="BR188" s="135">
        <f t="shared" si="45"/>
        <v>1516</v>
      </c>
      <c r="BS188" s="135" t="s">
        <v>2697</v>
      </c>
    </row>
    <row r="189" spans="50:71" ht="18.75" hidden="1" x14ac:dyDescent="0.3">
      <c r="AX189" s="240" t="s">
        <v>2973</v>
      </c>
      <c r="AY189" s="212" t="s">
        <v>325</v>
      </c>
      <c r="AZ189" s="277">
        <f>VLOOKUP(AY189,'Tarieven VPT'!$B$6:I260,8,FALSE)</f>
        <v>358.84448837101064</v>
      </c>
      <c r="BA189" s="207"/>
      <c r="BQ189" s="135">
        <v>580</v>
      </c>
      <c r="BR189" s="135">
        <f t="shared" si="45"/>
        <v>1580</v>
      </c>
      <c r="BS189" s="135" t="s">
        <v>2697</v>
      </c>
    </row>
    <row r="190" spans="50:71" ht="18.75" hidden="1" x14ac:dyDescent="0.3">
      <c r="AX190" s="240" t="s">
        <v>2975</v>
      </c>
      <c r="AY190" s="212" t="s">
        <v>307</v>
      </c>
      <c r="AZ190" s="277">
        <f>VLOOKUP(AY190,'Tarieven VPT'!$B$6:I262,8,FALSE)</f>
        <v>127.50588740432228</v>
      </c>
      <c r="BA190" s="207"/>
      <c r="BQ190" s="135">
        <v>584</v>
      </c>
      <c r="BR190" s="135">
        <f t="shared" si="45"/>
        <v>1584</v>
      </c>
      <c r="BS190" s="135" t="s">
        <v>2697</v>
      </c>
    </row>
    <row r="191" spans="50:71" ht="18.75" hidden="1" x14ac:dyDescent="0.3">
      <c r="AX191" s="240" t="s">
        <v>2978</v>
      </c>
      <c r="AY191" s="212" t="s">
        <v>376</v>
      </c>
      <c r="AZ191" s="277">
        <f>VLOOKUP(AY191,'Tarieven VPT'!$B$6:I265,8,FALSE)</f>
        <v>186.02</v>
      </c>
      <c r="BA191" s="207"/>
      <c r="BQ191" s="135">
        <v>585</v>
      </c>
      <c r="BR191" s="135">
        <f t="shared" si="45"/>
        <v>1585</v>
      </c>
      <c r="BS191" s="135" t="s">
        <v>2697</v>
      </c>
    </row>
    <row r="192" spans="50:71" ht="18.75" hidden="1" x14ac:dyDescent="0.3">
      <c r="AX192" s="240" t="s">
        <v>2976</v>
      </c>
      <c r="AY192" s="212" t="s">
        <v>227</v>
      </c>
      <c r="AZ192" s="277">
        <f>VLOOKUP(AY192,'Tarieven VPT'!$B$6:I263,8,FALSE)</f>
        <v>280.23480789127456</v>
      </c>
      <c r="BA192" s="207"/>
      <c r="BQ192" s="135">
        <v>1001</v>
      </c>
      <c r="BR192" s="135">
        <f>BQ192+1000</f>
        <v>2001</v>
      </c>
      <c r="BS192" s="135" t="s">
        <v>1813</v>
      </c>
    </row>
    <row r="193" spans="50:71" ht="18.75" hidden="1" x14ac:dyDescent="0.3">
      <c r="AX193" s="240" t="s">
        <v>2977</v>
      </c>
      <c r="AY193" s="212" t="s">
        <v>103</v>
      </c>
      <c r="AZ193" s="277">
        <f>VLOOKUP(AY193,'Tarieven VPT'!$B$6:I264,8,FALSE)</f>
        <v>322.12713810594664</v>
      </c>
      <c r="BA193" s="207"/>
      <c r="BQ193" s="135">
        <v>1002</v>
      </c>
      <c r="BR193" s="135">
        <f t="shared" ref="BR193:BR208" si="46">BQ193+1000</f>
        <v>2002</v>
      </c>
      <c r="BS193" s="135" t="s">
        <v>1813</v>
      </c>
    </row>
    <row r="194" spans="50:71" ht="18.75" hidden="1" x14ac:dyDescent="0.3">
      <c r="AX194" s="240" t="s">
        <v>2979</v>
      </c>
      <c r="AY194" s="212" t="s">
        <v>57</v>
      </c>
      <c r="AZ194" s="277">
        <f>VLOOKUP(AY194,'Tarieven VPT'!$B$6:I266,8,FALSE)</f>
        <v>181.27969869813094</v>
      </c>
      <c r="BA194" s="207"/>
      <c r="BQ194" s="135">
        <v>1003</v>
      </c>
      <c r="BR194" s="135">
        <f t="shared" si="46"/>
        <v>2003</v>
      </c>
      <c r="BS194" s="135" t="s">
        <v>1813</v>
      </c>
    </row>
    <row r="195" spans="50:71" ht="18.75" hidden="1" x14ac:dyDescent="0.3">
      <c r="AX195" s="240" t="s">
        <v>2982</v>
      </c>
      <c r="AY195" s="212" t="s">
        <v>336</v>
      </c>
      <c r="AZ195" s="277">
        <f>VLOOKUP(AY195,'Tarieven VPT'!$B$6:I269,8,FALSE)</f>
        <v>249.1</v>
      </c>
      <c r="BA195" s="207"/>
      <c r="BQ195" s="135">
        <v>1004</v>
      </c>
      <c r="BR195" s="135">
        <f t="shared" si="46"/>
        <v>2004</v>
      </c>
      <c r="BS195" s="135" t="s">
        <v>1813</v>
      </c>
    </row>
    <row r="196" spans="50:71" ht="18.75" hidden="1" x14ac:dyDescent="0.3">
      <c r="AX196" s="240" t="s">
        <v>2980</v>
      </c>
      <c r="AY196" s="212" t="s">
        <v>186</v>
      </c>
      <c r="AZ196" s="277">
        <f>VLOOKUP(AY196,'Tarieven VPT'!$B$6:I267,8,FALSE)</f>
        <v>357.72230033712071</v>
      </c>
      <c r="BA196" s="207"/>
      <c r="BQ196" s="135">
        <v>1005</v>
      </c>
      <c r="BR196" s="135">
        <f t="shared" si="46"/>
        <v>2005</v>
      </c>
      <c r="BS196" s="135" t="s">
        <v>1813</v>
      </c>
    </row>
    <row r="197" spans="50:71" ht="18.75" hidden="1" x14ac:dyDescent="0.3">
      <c r="AX197" s="240" t="s">
        <v>2981</v>
      </c>
      <c r="AY197" s="212" t="s">
        <v>124</v>
      </c>
      <c r="AZ197" s="277">
        <f>VLOOKUP(AY197,'Tarieven VPT'!$B$6:I268,8,FALSE)</f>
        <v>422.18580807984307</v>
      </c>
      <c r="BA197" s="207"/>
      <c r="BQ197" s="135">
        <v>1006</v>
      </c>
      <c r="BR197" s="135">
        <f t="shared" si="46"/>
        <v>2006</v>
      </c>
      <c r="BS197" s="135" t="s">
        <v>1813</v>
      </c>
    </row>
    <row r="198" spans="50:71" ht="18.75" hidden="1" x14ac:dyDescent="0.3">
      <c r="AX198" s="240" t="s">
        <v>2799</v>
      </c>
      <c r="AY198" s="212" t="s">
        <v>113</v>
      </c>
      <c r="AZ198" s="277">
        <f>VLOOKUP(AY198,'Tarieven VPT'!$B$6:I270,8,FALSE)</f>
        <v>74.63</v>
      </c>
      <c r="BA198" s="207"/>
      <c r="BQ198" s="135">
        <v>1007</v>
      </c>
      <c r="BR198" s="135">
        <f t="shared" si="46"/>
        <v>2007</v>
      </c>
      <c r="BS198" s="135" t="s">
        <v>1813</v>
      </c>
    </row>
    <row r="199" spans="50:71" ht="18.75" hidden="1" x14ac:dyDescent="0.3">
      <c r="AX199" s="240" t="s">
        <v>2800</v>
      </c>
      <c r="AY199" s="212" t="s">
        <v>200</v>
      </c>
      <c r="AZ199" s="277">
        <f>VLOOKUP(AY199,'Tarieven VPT'!$B$6:I271,8,FALSE)</f>
        <v>110.64</v>
      </c>
      <c r="BA199" s="207"/>
      <c r="BQ199" s="135">
        <v>1008</v>
      </c>
      <c r="BR199" s="135">
        <f t="shared" si="46"/>
        <v>2008</v>
      </c>
      <c r="BS199" s="135" t="s">
        <v>1813</v>
      </c>
    </row>
    <row r="200" spans="50:71" ht="18.75" hidden="1" x14ac:dyDescent="0.3">
      <c r="AX200" s="240" t="s">
        <v>2983</v>
      </c>
      <c r="AY200" s="212" t="s">
        <v>344</v>
      </c>
      <c r="AZ200" s="277">
        <f>VLOOKUP(AY200,'Tarieven VPT'!$B$6:I272,8,FALSE)</f>
        <v>128.65</v>
      </c>
      <c r="BA200" s="207"/>
      <c r="BQ200" s="135">
        <v>1000</v>
      </c>
      <c r="BR200" s="135">
        <f t="shared" si="46"/>
        <v>2000</v>
      </c>
      <c r="BS200" s="135" t="s">
        <v>1813</v>
      </c>
    </row>
    <row r="201" spans="50:71" ht="18.75" hidden="1" x14ac:dyDescent="0.3">
      <c r="AX201" s="240" t="s">
        <v>2984</v>
      </c>
      <c r="AY201" s="212" t="s">
        <v>248</v>
      </c>
      <c r="AZ201" s="277">
        <f>VLOOKUP(AY201,'Tarieven VPT'!$B$6:I273,8,FALSE)</f>
        <v>157.12</v>
      </c>
      <c r="BA201" s="207"/>
      <c r="BQ201" s="135">
        <v>1013</v>
      </c>
      <c r="BR201" s="135">
        <f t="shared" si="46"/>
        <v>2013</v>
      </c>
      <c r="BS201" s="135" t="s">
        <v>1813</v>
      </c>
    </row>
    <row r="202" spans="50:71" ht="18.75" hidden="1" x14ac:dyDescent="0.3">
      <c r="AX202" s="240" t="s">
        <v>2801</v>
      </c>
      <c r="AY202" s="212" t="s">
        <v>224</v>
      </c>
      <c r="AZ202" s="277">
        <f>VLOOKUP(AY202,'Tarieven VPT'!$B$6:I274,8,FALSE)</f>
        <v>135.34</v>
      </c>
      <c r="BA202" s="207"/>
      <c r="BQ202" s="135">
        <v>1085</v>
      </c>
      <c r="BR202" s="135">
        <f t="shared" si="46"/>
        <v>2085</v>
      </c>
      <c r="BS202" s="135" t="s">
        <v>1813</v>
      </c>
    </row>
    <row r="203" spans="50:71" ht="18.75" hidden="1" x14ac:dyDescent="0.3">
      <c r="AX203" s="240" t="s">
        <v>2802</v>
      </c>
      <c r="AY203" s="212" t="s">
        <v>304</v>
      </c>
      <c r="AZ203" s="277">
        <f>VLOOKUP(AY203,'Tarieven VPT'!$B$6:I275,8,FALSE)</f>
        <v>171.65</v>
      </c>
      <c r="BA203" s="207"/>
      <c r="BQ203" s="135">
        <v>1084</v>
      </c>
      <c r="BR203" s="135">
        <f t="shared" si="46"/>
        <v>2084</v>
      </c>
      <c r="BS203" s="135" t="s">
        <v>1813</v>
      </c>
    </row>
    <row r="204" spans="50:71" ht="18.75" hidden="1" x14ac:dyDescent="0.3">
      <c r="AX204" s="240" t="s">
        <v>2803</v>
      </c>
      <c r="AY204" s="212" t="s">
        <v>285</v>
      </c>
      <c r="AZ204" s="277">
        <f>VLOOKUP(AY204,'Tarieven VPT'!$B$6:I276,8,FALSE)</f>
        <v>188.72</v>
      </c>
      <c r="BA204" s="207"/>
      <c r="BQ204" s="135">
        <v>1083</v>
      </c>
      <c r="BR204" s="135">
        <f t="shared" si="46"/>
        <v>2083</v>
      </c>
      <c r="BS204" s="135" t="s">
        <v>1813</v>
      </c>
    </row>
    <row r="205" spans="50:71" ht="18.75" hidden="1" x14ac:dyDescent="0.3">
      <c r="AX205" s="240" t="s">
        <v>2985</v>
      </c>
      <c r="AY205" s="212" t="s">
        <v>99</v>
      </c>
      <c r="AZ205" s="277">
        <f>VLOOKUP(AY205,'Tarieven VPT'!$B$6:I277,8,FALSE)</f>
        <v>181.81</v>
      </c>
      <c r="BA205" s="207"/>
      <c r="BQ205" s="135">
        <v>1080</v>
      </c>
      <c r="BR205" s="135">
        <f t="shared" si="46"/>
        <v>2080</v>
      </c>
      <c r="BS205" s="135" t="s">
        <v>1813</v>
      </c>
    </row>
    <row r="206" spans="50:71" ht="18.75" hidden="1" x14ac:dyDescent="0.3">
      <c r="AX206" s="240" t="s">
        <v>2986</v>
      </c>
      <c r="AY206" s="212" t="s">
        <v>203</v>
      </c>
      <c r="AZ206" s="277">
        <f>VLOOKUP(AY206,'Tarieven VPT'!$B$6:I278,8,FALSE)</f>
        <v>232.75</v>
      </c>
      <c r="BA206" s="207"/>
      <c r="BQ206" s="135">
        <v>1088</v>
      </c>
      <c r="BR206" s="135">
        <f t="shared" si="46"/>
        <v>2088</v>
      </c>
      <c r="BS206" s="135" t="s">
        <v>1813</v>
      </c>
    </row>
    <row r="207" spans="50:71" ht="18.75" hidden="1" x14ac:dyDescent="0.3">
      <c r="AX207" s="240" t="s">
        <v>2987</v>
      </c>
      <c r="AY207" s="212" t="s">
        <v>356</v>
      </c>
      <c r="AZ207" s="277">
        <f>VLOOKUP(AY207,'Tarieven VPT'!$B$6:I279,8,FALSE)</f>
        <v>251.72</v>
      </c>
      <c r="BA207" s="207"/>
      <c r="BQ207" s="135">
        <v>1101</v>
      </c>
      <c r="BR207" s="135">
        <f t="shared" si="46"/>
        <v>2101</v>
      </c>
      <c r="BS207" s="135" t="s">
        <v>1813</v>
      </c>
    </row>
    <row r="208" spans="50:71" ht="18.75" hidden="1" x14ac:dyDescent="0.3">
      <c r="AX208" s="240" t="s">
        <v>2988</v>
      </c>
      <c r="AY208" s="212" t="s">
        <v>286</v>
      </c>
      <c r="AZ208" s="277">
        <f>VLOOKUP(AY208,'Tarieven VPT'!$B$6:I280,8,FALSE)</f>
        <v>149.32</v>
      </c>
      <c r="BA208" s="207"/>
      <c r="BQ208" s="135">
        <v>1102</v>
      </c>
      <c r="BR208" s="135">
        <f t="shared" si="46"/>
        <v>2102</v>
      </c>
      <c r="BS208" s="135" t="s">
        <v>1813</v>
      </c>
    </row>
    <row r="209" spans="50:71" ht="18.75" hidden="1" x14ac:dyDescent="0.3">
      <c r="AX209" s="240" t="s">
        <v>2989</v>
      </c>
      <c r="AY209" s="212" t="s">
        <v>58</v>
      </c>
      <c r="AZ209" s="277">
        <f>VLOOKUP(AY209,'Tarieven VPT'!$B$6:I281,8,FALSE)</f>
        <v>189.53</v>
      </c>
      <c r="BA209" s="207"/>
    </row>
    <row r="210" spans="50:71" ht="18.75" hidden="1" x14ac:dyDescent="0.3">
      <c r="AX210" s="240" t="s">
        <v>2990</v>
      </c>
      <c r="AY210" s="212" t="s">
        <v>258</v>
      </c>
      <c r="AZ210" s="277">
        <f>VLOOKUP(AY210,'Tarieven VPT'!$B$6:I282,8,FALSE)</f>
        <v>210.91</v>
      </c>
      <c r="BA210" s="207"/>
      <c r="BQ210" s="135">
        <v>1103</v>
      </c>
      <c r="BR210" s="135">
        <f>BQ210+1000</f>
        <v>2103</v>
      </c>
      <c r="BS210" s="135" t="s">
        <v>1813</v>
      </c>
    </row>
    <row r="211" spans="50:71" ht="18.75" hidden="1" x14ac:dyDescent="0.3">
      <c r="AX211" s="240" t="s">
        <v>2991</v>
      </c>
      <c r="AY211" s="212" t="s">
        <v>292</v>
      </c>
      <c r="AZ211" s="277">
        <f>VLOOKUP(AY211,'Tarieven VPT'!$B$6:I283,8,FALSE)</f>
        <v>195.81</v>
      </c>
      <c r="BA211" s="207"/>
      <c r="BQ211" s="135">
        <v>1104</v>
      </c>
      <c r="BR211" s="135">
        <f t="shared" ref="BR211:BR274" si="47">BQ211+1000</f>
        <v>2104</v>
      </c>
      <c r="BS211" s="135" t="s">
        <v>1813</v>
      </c>
    </row>
    <row r="212" spans="50:71" ht="18.75" hidden="1" x14ac:dyDescent="0.3">
      <c r="AX212" s="240" t="s">
        <v>2992</v>
      </c>
      <c r="AY212" s="212" t="s">
        <v>138</v>
      </c>
      <c r="AZ212" s="277">
        <f>VLOOKUP(AY212,'Tarieven VPT'!$B$6:I284,8,FALSE)</f>
        <v>250.64</v>
      </c>
      <c r="BA212" s="207"/>
      <c r="BQ212" s="135">
        <v>1105</v>
      </c>
      <c r="BR212" s="135">
        <f t="shared" si="47"/>
        <v>2105</v>
      </c>
      <c r="BS212" s="135" t="s">
        <v>1813</v>
      </c>
    </row>
    <row r="213" spans="50:71" ht="18.75" hidden="1" x14ac:dyDescent="0.3">
      <c r="AX213" s="240" t="s">
        <v>2993</v>
      </c>
      <c r="AY213" s="212" t="s">
        <v>179</v>
      </c>
      <c r="AZ213" s="277">
        <f>VLOOKUP(AY213,'Tarieven VPT'!$B$6:I285,8,FALSE)</f>
        <v>273.91000000000003</v>
      </c>
      <c r="BA213" s="207"/>
      <c r="BQ213" s="135">
        <v>1106</v>
      </c>
      <c r="BR213" s="135">
        <f t="shared" si="47"/>
        <v>2106</v>
      </c>
      <c r="BS213" s="135" t="s">
        <v>1813</v>
      </c>
    </row>
    <row r="214" spans="50:71" ht="18.75" hidden="1" x14ac:dyDescent="0.3">
      <c r="AX214" s="240" t="s">
        <v>3147</v>
      </c>
      <c r="AY214" s="212" t="s">
        <v>9</v>
      </c>
      <c r="AZ214" s="277">
        <f>VLOOKUP(AY214,'Tarieven VPT'!$B$6:I286,8,FALSE)</f>
        <v>32.05393416171809</v>
      </c>
      <c r="BA214" s="207"/>
      <c r="BQ214" s="135">
        <v>1107</v>
      </c>
      <c r="BR214" s="135">
        <f t="shared" si="47"/>
        <v>2107</v>
      </c>
      <c r="BS214" s="135" t="s">
        <v>1813</v>
      </c>
    </row>
    <row r="215" spans="50:71" ht="18.75" hidden="1" x14ac:dyDescent="0.3">
      <c r="AX215" s="240" t="s">
        <v>2996</v>
      </c>
      <c r="AY215" s="212" t="s">
        <v>3072</v>
      </c>
      <c r="AZ215" s="277">
        <f>VLOOKUP(AY215,'Tarieven VPT'!$B$6:I287,8,FALSE)</f>
        <v>48.467124736056157</v>
      </c>
      <c r="BA215" s="207"/>
      <c r="BQ215" s="135">
        <v>1108</v>
      </c>
      <c r="BR215" s="135">
        <f t="shared" si="47"/>
        <v>2108</v>
      </c>
      <c r="BS215" s="135" t="s">
        <v>1813</v>
      </c>
    </row>
    <row r="216" spans="50:71" ht="18.75" hidden="1" x14ac:dyDescent="0.3">
      <c r="AX216" s="240" t="s">
        <v>2997</v>
      </c>
      <c r="AY216" s="212" t="s">
        <v>3074</v>
      </c>
      <c r="AZ216" s="277">
        <f>VLOOKUP(AY216,'Tarieven VPT'!$B$6:I288,8,FALSE)</f>
        <v>48.437124736056155</v>
      </c>
      <c r="BA216" s="207"/>
      <c r="BQ216" s="135">
        <v>1109</v>
      </c>
      <c r="BR216" s="135">
        <f t="shared" si="47"/>
        <v>2109</v>
      </c>
      <c r="BS216" s="135" t="s">
        <v>1813</v>
      </c>
    </row>
    <row r="217" spans="50:71" ht="18.75" hidden="1" x14ac:dyDescent="0.3">
      <c r="AX217" s="240" t="s">
        <v>2998</v>
      </c>
      <c r="AY217" s="212" t="s">
        <v>3579</v>
      </c>
      <c r="AZ217" s="277">
        <f>VLOOKUP(AY217,'Tarieven VPT'!$B$6:I289,8,FALSE)</f>
        <v>86.822697241661842</v>
      </c>
      <c r="BA217" s="207"/>
      <c r="BQ217" s="135">
        <v>1600</v>
      </c>
      <c r="BR217" s="135">
        <f t="shared" si="47"/>
        <v>2600</v>
      </c>
      <c r="BS217" s="135" t="s">
        <v>1813</v>
      </c>
    </row>
    <row r="218" spans="50:71" ht="18.75" hidden="1" x14ac:dyDescent="0.3">
      <c r="AX218" s="240" t="s">
        <v>2999</v>
      </c>
      <c r="AY218" s="212" t="s">
        <v>11</v>
      </c>
      <c r="AZ218" s="277">
        <f>VLOOKUP(AY218,'Tarieven VPT'!$B$6:I290,8,FALSE)</f>
        <v>85.502697241661849</v>
      </c>
      <c r="BA218" s="207"/>
      <c r="BQ218" s="135">
        <v>1601</v>
      </c>
      <c r="BR218" s="135">
        <f t="shared" si="47"/>
        <v>2601</v>
      </c>
      <c r="BS218" s="135" t="s">
        <v>1813</v>
      </c>
    </row>
    <row r="219" spans="50:71" ht="18.75" hidden="1" x14ac:dyDescent="0.3">
      <c r="AX219" s="240" t="s">
        <v>3000</v>
      </c>
      <c r="AY219" s="212" t="s">
        <v>447</v>
      </c>
      <c r="AZ219" s="277">
        <f>VLOOKUP(AY219,'Tarieven VPT'!$B$6:I291,8,FALSE)</f>
        <v>48.001535323392936</v>
      </c>
      <c r="BA219" s="207"/>
      <c r="BQ219" s="135">
        <v>1602</v>
      </c>
      <c r="BR219" s="135">
        <f t="shared" si="47"/>
        <v>2602</v>
      </c>
      <c r="BS219" s="135" t="s">
        <v>1813</v>
      </c>
    </row>
    <row r="220" spans="50:71" ht="18.75" hidden="1" x14ac:dyDescent="0.3">
      <c r="AX220" s="240" t="s">
        <v>3001</v>
      </c>
      <c r="AY220" s="212" t="s">
        <v>3079</v>
      </c>
      <c r="AZ220" s="277">
        <f>VLOOKUP(AY220,'Tarieven VPT'!$B$6:I292,8,FALSE)</f>
        <v>54.416643056089605</v>
      </c>
      <c r="BA220" s="207"/>
      <c r="BQ220" s="135">
        <v>1603</v>
      </c>
      <c r="BR220" s="135">
        <f t="shared" si="47"/>
        <v>2603</v>
      </c>
      <c r="BS220" s="135" t="s">
        <v>1813</v>
      </c>
    </row>
    <row r="221" spans="50:71" ht="18.75" hidden="1" x14ac:dyDescent="0.3">
      <c r="AX221" s="240" t="s">
        <v>3002</v>
      </c>
      <c r="AY221" s="212" t="s">
        <v>3081</v>
      </c>
      <c r="AZ221" s="277">
        <f>VLOOKUP(AY221,'Tarieven VPT'!$B$6:I293,8,FALSE)</f>
        <v>57.136643056089603</v>
      </c>
      <c r="BA221" s="207"/>
      <c r="BQ221" s="135">
        <v>1604</v>
      </c>
      <c r="BR221" s="135">
        <f t="shared" si="47"/>
        <v>2604</v>
      </c>
      <c r="BS221" s="135" t="s">
        <v>1813</v>
      </c>
    </row>
    <row r="222" spans="50:71" ht="18.75" hidden="1" x14ac:dyDescent="0.3">
      <c r="AX222" s="240" t="s">
        <v>3003</v>
      </c>
      <c r="AY222" s="212" t="s">
        <v>3083</v>
      </c>
      <c r="AZ222" s="277">
        <f>VLOOKUP(AY222,'Tarieven VPT'!$B$6:I294,8,FALSE)</f>
        <v>60.392359434763279</v>
      </c>
      <c r="BA222" s="207"/>
      <c r="BQ222" s="135">
        <v>1605</v>
      </c>
      <c r="BR222" s="135">
        <f t="shared" si="47"/>
        <v>2605</v>
      </c>
      <c r="BS222" s="135" t="s">
        <v>1813</v>
      </c>
    </row>
    <row r="223" spans="50:71" ht="18.75" hidden="1" x14ac:dyDescent="0.3">
      <c r="AX223" s="240" t="s">
        <v>3004</v>
      </c>
      <c r="AY223" s="212" t="s">
        <v>3085</v>
      </c>
      <c r="AZ223" s="277">
        <f>VLOOKUP(AY223,'Tarieven VPT'!$B$6:I295,8,FALSE)</f>
        <v>61.202359434763281</v>
      </c>
      <c r="BA223" s="207"/>
      <c r="BQ223" s="135">
        <v>1606</v>
      </c>
      <c r="BR223" s="135">
        <f t="shared" si="47"/>
        <v>2606</v>
      </c>
      <c r="BS223" s="135" t="s">
        <v>1813</v>
      </c>
    </row>
    <row r="224" spans="50:71" ht="18.75" hidden="1" x14ac:dyDescent="0.3">
      <c r="AX224" s="240" t="s">
        <v>3005</v>
      </c>
      <c r="AY224" s="212" t="s">
        <v>467</v>
      </c>
      <c r="AZ224" s="277">
        <f>VLOOKUP(AY224,'Tarieven VPT'!$B$6:I296,8,FALSE)</f>
        <v>47.420823833806693</v>
      </c>
      <c r="BA224" s="207"/>
      <c r="BQ224" s="135">
        <v>1607</v>
      </c>
      <c r="BR224" s="135">
        <f t="shared" si="47"/>
        <v>2607</v>
      </c>
      <c r="BS224" s="135" t="s">
        <v>1813</v>
      </c>
    </row>
    <row r="225" spans="50:71" ht="18.75" hidden="1" x14ac:dyDescent="0.3">
      <c r="AX225" s="240" t="s">
        <v>3006</v>
      </c>
      <c r="AY225" s="212" t="s">
        <v>461</v>
      </c>
      <c r="AZ225" s="277">
        <f>VLOOKUP(AY225,'Tarieven VPT'!$B$6:I297,8,FALSE)</f>
        <v>58.420559283173517</v>
      </c>
      <c r="BA225" s="207"/>
      <c r="BQ225" s="135">
        <v>1608</v>
      </c>
      <c r="BR225" s="135">
        <f t="shared" si="47"/>
        <v>2608</v>
      </c>
      <c r="BS225" s="135" t="s">
        <v>1813</v>
      </c>
    </row>
    <row r="226" spans="50:71" ht="18.75" hidden="1" x14ac:dyDescent="0.3">
      <c r="AX226" s="240" t="s">
        <v>3007</v>
      </c>
      <c r="AY226" s="212" t="s">
        <v>459</v>
      </c>
      <c r="AZ226" s="277">
        <f>VLOOKUP(AY226,'Tarieven VPT'!$B$6:I298,8,FALSE)</f>
        <v>71.693667658027437</v>
      </c>
      <c r="BA226" s="207"/>
      <c r="BQ226" s="135">
        <v>1609</v>
      </c>
      <c r="BR226" s="135">
        <f t="shared" si="47"/>
        <v>2609</v>
      </c>
      <c r="BS226" s="135" t="s">
        <v>1813</v>
      </c>
    </row>
    <row r="227" spans="50:71" ht="18.75" hidden="1" x14ac:dyDescent="0.3">
      <c r="AX227" s="240" t="s">
        <v>3008</v>
      </c>
      <c r="AY227" s="212" t="s">
        <v>476</v>
      </c>
      <c r="AZ227" s="277">
        <f>VLOOKUP(AY227,'Tarieven VPT'!$B$6:I299,8,FALSE)</f>
        <v>35.799999999999997</v>
      </c>
      <c r="BA227" s="207"/>
      <c r="BQ227" s="135">
        <v>1610</v>
      </c>
      <c r="BR227" s="135">
        <f t="shared" si="47"/>
        <v>2610</v>
      </c>
      <c r="BS227" s="135" t="s">
        <v>1813</v>
      </c>
    </row>
    <row r="228" spans="50:71" ht="18.75" hidden="1" x14ac:dyDescent="0.3">
      <c r="AX228" s="240" t="s">
        <v>3009</v>
      </c>
      <c r="AY228" s="212" t="s">
        <v>469</v>
      </c>
      <c r="AZ228" s="277">
        <f>VLOOKUP(AY228,'Tarieven VPT'!$B$6:I300,8,FALSE)</f>
        <v>41.61</v>
      </c>
      <c r="BA228" s="207"/>
      <c r="BQ228" s="135">
        <v>1611</v>
      </c>
      <c r="BR228" s="135">
        <f t="shared" si="47"/>
        <v>2611</v>
      </c>
      <c r="BS228" s="135" t="s">
        <v>1813</v>
      </c>
    </row>
    <row r="229" spans="50:71" ht="18.75" hidden="1" x14ac:dyDescent="0.3">
      <c r="AX229" s="240" t="s">
        <v>3010</v>
      </c>
      <c r="AY229" s="212" t="s">
        <v>3092</v>
      </c>
      <c r="AZ229" s="277">
        <f>VLOOKUP(AY229,'Tarieven VPT'!$B$6:I301,8,FALSE)</f>
        <v>47.07</v>
      </c>
      <c r="BA229" s="207"/>
      <c r="BQ229" s="135">
        <v>1612</v>
      </c>
      <c r="BR229" s="135">
        <f t="shared" si="47"/>
        <v>2612</v>
      </c>
      <c r="BS229" s="135" t="s">
        <v>1813</v>
      </c>
    </row>
    <row r="230" spans="50:71" ht="18.75" hidden="1" x14ac:dyDescent="0.3">
      <c r="AX230" s="240" t="s">
        <v>3011</v>
      </c>
      <c r="AY230" s="212" t="s">
        <v>3094</v>
      </c>
      <c r="AZ230" s="277">
        <f>VLOOKUP(AY230,'Tarieven VPT'!$B$6:I302,8,FALSE)</f>
        <v>48.56</v>
      </c>
      <c r="BA230" s="207"/>
      <c r="BQ230" s="135">
        <v>1613</v>
      </c>
      <c r="BR230" s="135">
        <f t="shared" si="47"/>
        <v>2613</v>
      </c>
      <c r="BS230" s="135" t="s">
        <v>1813</v>
      </c>
    </row>
    <row r="231" spans="50:71" ht="18.75" hidden="1" x14ac:dyDescent="0.3">
      <c r="AX231" s="240" t="s">
        <v>2804</v>
      </c>
      <c r="AY231" s="212" t="s">
        <v>254</v>
      </c>
      <c r="AZ231" s="277">
        <f>VLOOKUP(AY231,'Tarieven ZZP'!B6:J238,9,FALSE)</f>
        <v>99.87</v>
      </c>
      <c r="BA231" s="207"/>
      <c r="BQ231" s="135">
        <v>1614</v>
      </c>
      <c r="BR231" s="135">
        <f t="shared" si="47"/>
        <v>2614</v>
      </c>
      <c r="BS231" s="135" t="s">
        <v>1813</v>
      </c>
    </row>
    <row r="232" spans="50:71" ht="18.75" hidden="1" x14ac:dyDescent="0.3">
      <c r="AX232" s="240" t="s">
        <v>2805</v>
      </c>
      <c r="AY232" s="212" t="s">
        <v>298</v>
      </c>
      <c r="AZ232" s="277">
        <f>VLOOKUP(AY232,'Tarieven ZZP'!B7:J239,9,FALSE)</f>
        <v>128.08000000000001</v>
      </c>
      <c r="BA232" s="207"/>
      <c r="BQ232" s="135">
        <v>1615</v>
      </c>
      <c r="BR232" s="135">
        <f t="shared" si="47"/>
        <v>2615</v>
      </c>
      <c r="BS232" s="135" t="s">
        <v>1813</v>
      </c>
    </row>
    <row r="233" spans="50:71" ht="18.75" hidden="1" x14ac:dyDescent="0.3">
      <c r="AX233" s="240" t="s">
        <v>2806</v>
      </c>
      <c r="AY233" s="212" t="s">
        <v>324</v>
      </c>
      <c r="AZ233" s="277">
        <f>VLOOKUP(AY233,'Tarieven ZZP'!B8:J240,9,FALSE)</f>
        <v>159.63</v>
      </c>
      <c r="BA233" s="207"/>
      <c r="BQ233" s="135">
        <v>1616</v>
      </c>
      <c r="BR233" s="135">
        <f t="shared" si="47"/>
        <v>2616</v>
      </c>
      <c r="BS233" s="135" t="s">
        <v>1813</v>
      </c>
    </row>
    <row r="234" spans="50:71" ht="18.75" hidden="1" x14ac:dyDescent="0.3">
      <c r="AX234" s="240" t="s">
        <v>2807</v>
      </c>
      <c r="AY234" s="212" t="s">
        <v>128</v>
      </c>
      <c r="AZ234" s="277">
        <f>VLOOKUP(AY234,'Tarieven ZZP'!B9:J241,9,FALSE)</f>
        <v>166.47</v>
      </c>
      <c r="BA234" s="207"/>
      <c r="BQ234" s="135">
        <v>1617</v>
      </c>
      <c r="BR234" s="135">
        <f t="shared" si="47"/>
        <v>2617</v>
      </c>
      <c r="BS234" s="135" t="s">
        <v>1813</v>
      </c>
    </row>
    <row r="235" spans="50:71" ht="18.75" hidden="1" x14ac:dyDescent="0.3">
      <c r="AX235" s="240" t="s">
        <v>2808</v>
      </c>
      <c r="AY235" s="212" t="s">
        <v>95</v>
      </c>
      <c r="AZ235" s="277">
        <f>VLOOKUP(AY235,'Tarieven ZZP'!B10:J242,9,FALSE)</f>
        <v>216.46</v>
      </c>
      <c r="BA235" s="207"/>
      <c r="BQ235" s="135">
        <v>1618</v>
      </c>
      <c r="BR235" s="135">
        <f t="shared" si="47"/>
        <v>2618</v>
      </c>
      <c r="BS235" s="135" t="s">
        <v>1813</v>
      </c>
    </row>
    <row r="236" spans="50:71" ht="18.75" hidden="1" x14ac:dyDescent="0.3">
      <c r="AX236" s="240" t="s">
        <v>2809</v>
      </c>
      <c r="AY236" s="212" t="s">
        <v>327</v>
      </c>
      <c r="AZ236" s="277">
        <f>VLOOKUP(AY236,'Tarieven ZZP'!B11:J243,9,FALSE)</f>
        <v>216.72</v>
      </c>
      <c r="BA236" s="207"/>
      <c r="BQ236" s="135">
        <v>1619</v>
      </c>
      <c r="BR236" s="135">
        <f t="shared" si="47"/>
        <v>2619</v>
      </c>
      <c r="BS236" s="135" t="s">
        <v>1813</v>
      </c>
    </row>
    <row r="237" spans="50:71" ht="18.75" hidden="1" x14ac:dyDescent="0.3">
      <c r="AX237" s="240" t="s">
        <v>2810</v>
      </c>
      <c r="AY237" s="212" t="s">
        <v>247</v>
      </c>
      <c r="AZ237" s="277">
        <f>VLOOKUP(AY237,'Tarieven ZZP'!B12:J244,9,FALSE)</f>
        <v>249.87</v>
      </c>
      <c r="BA237" s="207"/>
      <c r="BQ237" s="135">
        <v>1620</v>
      </c>
      <c r="BR237" s="135">
        <f t="shared" si="47"/>
        <v>2620</v>
      </c>
      <c r="BS237" s="135" t="s">
        <v>1813</v>
      </c>
    </row>
    <row r="238" spans="50:71" ht="18.75" hidden="1" x14ac:dyDescent="0.3">
      <c r="AX238" s="240" t="s">
        <v>2811</v>
      </c>
      <c r="AY238" s="212" t="s">
        <v>98</v>
      </c>
      <c r="AZ238" s="277">
        <f>VLOOKUP(AY238,'Tarieven ZZP'!B13:J245,9,FALSE)</f>
        <v>287.44</v>
      </c>
      <c r="BA238" s="207"/>
      <c r="BQ238" s="135">
        <v>1621</v>
      </c>
      <c r="BR238" s="135">
        <f t="shared" si="47"/>
        <v>2621</v>
      </c>
      <c r="BS238" s="135" t="s">
        <v>1813</v>
      </c>
    </row>
    <row r="239" spans="50:71" ht="18.75" hidden="1" x14ac:dyDescent="0.3">
      <c r="AX239" s="240" t="s">
        <v>2812</v>
      </c>
      <c r="AY239" s="212" t="s">
        <v>572</v>
      </c>
      <c r="AZ239" s="277">
        <f>VLOOKUP(AY239,'Tarieven ZZP'!B14:J246,9,FALSE)</f>
        <v>211.55</v>
      </c>
      <c r="BA239" s="207"/>
      <c r="BQ239" s="135">
        <v>1622</v>
      </c>
      <c r="BR239" s="135">
        <f t="shared" si="47"/>
        <v>2622</v>
      </c>
      <c r="BS239" s="135" t="s">
        <v>1813</v>
      </c>
    </row>
    <row r="240" spans="50:71" ht="18.75" hidden="1" x14ac:dyDescent="0.3">
      <c r="AX240" s="240" t="s">
        <v>2813</v>
      </c>
      <c r="AY240" s="212" t="s">
        <v>384</v>
      </c>
      <c r="AZ240" s="277">
        <f>VLOOKUP(AY240,'Tarieven ZZP'!B15:J247,9,FALSE)</f>
        <v>310.69</v>
      </c>
      <c r="BA240" s="207"/>
      <c r="BQ240" s="135">
        <v>1623</v>
      </c>
      <c r="BR240" s="135">
        <f t="shared" si="47"/>
        <v>2623</v>
      </c>
      <c r="BS240" s="135" t="s">
        <v>1813</v>
      </c>
    </row>
    <row r="241" spans="50:71" ht="18.75" hidden="1" x14ac:dyDescent="0.3">
      <c r="AX241" s="240" t="s">
        <v>2814</v>
      </c>
      <c r="AY241" s="212" t="s">
        <v>62</v>
      </c>
      <c r="AZ241" s="277">
        <f>VLOOKUP(AY241,'Tarieven ZZP'!B16:J248,9,FALSE)</f>
        <v>183.28</v>
      </c>
      <c r="BA241" s="207"/>
      <c r="BQ241" s="135">
        <v>1624</v>
      </c>
      <c r="BR241" s="135">
        <f t="shared" si="47"/>
        <v>2624</v>
      </c>
      <c r="BS241" s="135" t="s">
        <v>1813</v>
      </c>
    </row>
    <row r="242" spans="50:71" ht="18.75" hidden="1" x14ac:dyDescent="0.3">
      <c r="AX242" s="240" t="s">
        <v>2815</v>
      </c>
      <c r="AY242" s="212" t="s">
        <v>342</v>
      </c>
      <c r="AZ242" s="277">
        <f>VLOOKUP(AY242,'Tarieven ZZP'!B17:J249,9,FALSE)</f>
        <v>197.33</v>
      </c>
      <c r="BA242" s="207"/>
      <c r="BQ242" s="135">
        <v>1625</v>
      </c>
      <c r="BR242" s="135">
        <f t="shared" si="47"/>
        <v>2625</v>
      </c>
      <c r="BS242" s="135" t="s">
        <v>1813</v>
      </c>
    </row>
    <row r="243" spans="50:71" ht="18.75" hidden="1" x14ac:dyDescent="0.3">
      <c r="AX243" s="240" t="s">
        <v>2816</v>
      </c>
      <c r="AY243" s="212" t="s">
        <v>270</v>
      </c>
      <c r="AZ243" s="277">
        <f>VLOOKUP(AY243,'Tarieven ZZP'!B18:J250,9,FALSE)</f>
        <v>250.05</v>
      </c>
      <c r="BA243" s="207"/>
      <c r="BQ243" s="135">
        <v>1626</v>
      </c>
      <c r="BR243" s="135">
        <f t="shared" si="47"/>
        <v>2626</v>
      </c>
      <c r="BS243" s="135" t="s">
        <v>1813</v>
      </c>
    </row>
    <row r="244" spans="50:71" ht="18.75" hidden="1" x14ac:dyDescent="0.3">
      <c r="AX244" s="240" t="s">
        <v>2817</v>
      </c>
      <c r="AY244" s="212" t="s">
        <v>284</v>
      </c>
      <c r="AZ244" s="277">
        <f>VLOOKUP(AY244,'Tarieven ZZP'!B19:J251,9,FALSE)</f>
        <v>251.14</v>
      </c>
      <c r="BA244" s="207"/>
      <c r="BQ244" s="135">
        <v>1627</v>
      </c>
      <c r="BR244" s="135">
        <f t="shared" si="47"/>
        <v>2627</v>
      </c>
      <c r="BS244" s="135" t="s">
        <v>1813</v>
      </c>
    </row>
    <row r="245" spans="50:71" ht="18.75" hidden="1" x14ac:dyDescent="0.3">
      <c r="AX245" s="240" t="s">
        <v>2818</v>
      </c>
      <c r="AY245" s="212" t="s">
        <v>164</v>
      </c>
      <c r="AZ245" s="277">
        <f>VLOOKUP(AY245,'Tarieven ZZP'!B20:J252,9,FALSE)</f>
        <v>293.16000000000003</v>
      </c>
      <c r="BA245" s="207"/>
      <c r="BQ245" s="135">
        <v>1628</v>
      </c>
      <c r="BR245" s="135">
        <f t="shared" si="47"/>
        <v>2628</v>
      </c>
      <c r="BS245" s="135" t="s">
        <v>1813</v>
      </c>
    </row>
    <row r="246" spans="50:71" ht="18.75" hidden="1" x14ac:dyDescent="0.3">
      <c r="AX246" s="240" t="s">
        <v>2819</v>
      </c>
      <c r="AY246" s="212" t="s">
        <v>371</v>
      </c>
      <c r="AZ246" s="277">
        <f>VLOOKUP(AY246,'Tarieven ZZP'!B21:J253,9,FALSE)</f>
        <v>331.34</v>
      </c>
      <c r="BA246" s="207"/>
      <c r="BQ246" s="135">
        <v>1629</v>
      </c>
      <c r="BR246" s="135">
        <f t="shared" si="47"/>
        <v>2629</v>
      </c>
      <c r="BS246" s="135" t="s">
        <v>1813</v>
      </c>
    </row>
    <row r="247" spans="50:71" ht="18.75" hidden="1" x14ac:dyDescent="0.3">
      <c r="AX247" s="240" t="s">
        <v>2820</v>
      </c>
      <c r="AY247" s="212" t="s">
        <v>570</v>
      </c>
      <c r="AZ247" s="277">
        <f>VLOOKUP(AY247,'Tarieven ZZP'!B22:J254,9,FALSE)</f>
        <v>300.63</v>
      </c>
      <c r="BA247" s="207"/>
      <c r="BQ247" s="135">
        <v>1630</v>
      </c>
      <c r="BR247" s="135">
        <f t="shared" si="47"/>
        <v>2630</v>
      </c>
      <c r="BS247" s="135" t="s">
        <v>1813</v>
      </c>
    </row>
    <row r="248" spans="50:71" ht="18.75" hidden="1" x14ac:dyDescent="0.3">
      <c r="AX248" s="240" t="s">
        <v>2821</v>
      </c>
      <c r="AY248" s="212" t="s">
        <v>130</v>
      </c>
      <c r="AZ248" s="277">
        <f>VLOOKUP(AY248,'Tarieven ZZP'!B23:J255,9,FALSE)</f>
        <v>354.15</v>
      </c>
      <c r="BA248" s="207"/>
      <c r="BQ248" s="135">
        <v>1631</v>
      </c>
      <c r="BR248" s="135">
        <f t="shared" si="47"/>
        <v>2631</v>
      </c>
      <c r="BS248" s="135" t="s">
        <v>1813</v>
      </c>
    </row>
    <row r="249" spans="50:71" ht="18.75" hidden="1" x14ac:dyDescent="0.3">
      <c r="AX249" s="240" t="s">
        <v>2822</v>
      </c>
      <c r="AY249" s="212" t="s">
        <v>375</v>
      </c>
      <c r="AZ249" s="277">
        <f>VLOOKUP(AY249,'Tarieven ZZP'!B24:J256,9,FALSE)</f>
        <v>97.62</v>
      </c>
      <c r="BA249" s="207"/>
      <c r="BQ249" s="135">
        <v>1632</v>
      </c>
      <c r="BR249" s="135">
        <f t="shared" si="47"/>
        <v>2632</v>
      </c>
      <c r="BS249" s="135" t="s">
        <v>1813</v>
      </c>
    </row>
    <row r="250" spans="50:71" ht="18.75" hidden="1" x14ac:dyDescent="0.3">
      <c r="AX250" s="240" t="s">
        <v>2823</v>
      </c>
      <c r="AY250" s="212" t="s">
        <v>315</v>
      </c>
      <c r="AZ250" s="277">
        <f>VLOOKUP(AY250,'Tarieven ZZP'!B25:J257,9,FALSE)</f>
        <v>159.52000000000001</v>
      </c>
      <c r="BA250" s="207"/>
      <c r="BQ250" s="135">
        <v>1633</v>
      </c>
      <c r="BR250" s="135">
        <f t="shared" si="47"/>
        <v>2633</v>
      </c>
      <c r="BS250" s="135" t="s">
        <v>1813</v>
      </c>
    </row>
    <row r="251" spans="50:71" ht="18.75" hidden="1" x14ac:dyDescent="0.3">
      <c r="AX251" s="240" t="s">
        <v>2824</v>
      </c>
      <c r="AY251" s="212" t="s">
        <v>213</v>
      </c>
      <c r="AZ251" s="277">
        <f>VLOOKUP(AY251,'Tarieven ZZP'!B26:J258,9,FALSE)</f>
        <v>169.55</v>
      </c>
      <c r="BA251" s="207"/>
      <c r="BQ251" s="135">
        <v>1634</v>
      </c>
      <c r="BR251" s="135">
        <f t="shared" si="47"/>
        <v>2634</v>
      </c>
      <c r="BS251" s="135" t="s">
        <v>1813</v>
      </c>
    </row>
    <row r="252" spans="50:71" ht="18.75" hidden="1" x14ac:dyDescent="0.3">
      <c r="AX252" s="240" t="s">
        <v>2825</v>
      </c>
      <c r="AY252" s="212" t="s">
        <v>335</v>
      </c>
      <c r="AZ252" s="277">
        <f>VLOOKUP(AY252,'Tarieven ZZP'!B27:J259,9,FALSE)</f>
        <v>175.06</v>
      </c>
      <c r="BA252" s="207"/>
      <c r="BQ252" s="135">
        <v>1635</v>
      </c>
      <c r="BR252" s="135">
        <f t="shared" si="47"/>
        <v>2635</v>
      </c>
      <c r="BS252" s="135" t="s">
        <v>1813</v>
      </c>
    </row>
    <row r="253" spans="50:71" ht="18.75" hidden="1" x14ac:dyDescent="0.3">
      <c r="AX253" s="240" t="s">
        <v>2826</v>
      </c>
      <c r="AY253" s="212" t="s">
        <v>194</v>
      </c>
      <c r="AZ253" s="277">
        <f>VLOOKUP(AY253,'Tarieven ZZP'!B28:J260,9,FALSE)</f>
        <v>192.39</v>
      </c>
      <c r="BA253" s="207"/>
      <c r="BQ253" s="135">
        <v>1636</v>
      </c>
      <c r="BR253" s="135">
        <f t="shared" si="47"/>
        <v>2636</v>
      </c>
      <c r="BS253" s="135" t="s">
        <v>1813</v>
      </c>
    </row>
    <row r="254" spans="50:71" ht="18.75" hidden="1" x14ac:dyDescent="0.3">
      <c r="AX254" s="240" t="s">
        <v>2827</v>
      </c>
      <c r="AY254" s="212" t="s">
        <v>154</v>
      </c>
      <c r="AZ254" s="277">
        <f>VLOOKUP(AY254,'Tarieven ZZP'!B29:J261,9,FALSE)</f>
        <v>333.35</v>
      </c>
      <c r="BA254" s="207"/>
      <c r="BQ254" s="135">
        <v>1637</v>
      </c>
      <c r="BR254" s="135">
        <f t="shared" si="47"/>
        <v>2637</v>
      </c>
      <c r="BS254" s="135" t="s">
        <v>1813</v>
      </c>
    </row>
    <row r="255" spans="50:71" ht="18.75" hidden="1" x14ac:dyDescent="0.3">
      <c r="AX255" s="240" t="s">
        <v>2828</v>
      </c>
      <c r="AY255" s="212" t="s">
        <v>260</v>
      </c>
      <c r="AZ255" s="277">
        <f>VLOOKUP(AY255,'Tarieven ZZP'!B30:J262,9,FALSE)</f>
        <v>371.42</v>
      </c>
      <c r="BA255" s="207"/>
      <c r="BQ255" s="135">
        <v>1638</v>
      </c>
      <c r="BR255" s="135">
        <f t="shared" si="47"/>
        <v>2638</v>
      </c>
      <c r="BS255" s="135" t="s">
        <v>1813</v>
      </c>
    </row>
    <row r="256" spans="50:71" ht="18.75" hidden="1" x14ac:dyDescent="0.3">
      <c r="AX256" s="240" t="s">
        <v>2829</v>
      </c>
      <c r="AY256" s="212" t="s">
        <v>295</v>
      </c>
      <c r="AZ256" s="277">
        <f>VLOOKUP(AY256,'Tarieven ZZP'!B31:J263,9,FALSE)</f>
        <v>126.98</v>
      </c>
      <c r="BA256" s="207"/>
      <c r="BQ256" s="135">
        <v>1639</v>
      </c>
      <c r="BR256" s="135">
        <f t="shared" si="47"/>
        <v>2639</v>
      </c>
      <c r="BS256" s="135" t="s">
        <v>1813</v>
      </c>
    </row>
    <row r="257" spans="50:71" ht="18.75" hidden="1" x14ac:dyDescent="0.3">
      <c r="AX257" s="240" t="s">
        <v>2830</v>
      </c>
      <c r="AY257" s="212" t="s">
        <v>70</v>
      </c>
      <c r="AZ257" s="277">
        <f>VLOOKUP(AY257,'Tarieven ZZP'!B32:J264,9,FALSE)</f>
        <v>198.14</v>
      </c>
      <c r="BA257" s="207"/>
      <c r="BQ257" s="135">
        <v>1500</v>
      </c>
      <c r="BR257" s="135">
        <f t="shared" si="47"/>
        <v>2500</v>
      </c>
      <c r="BS257" s="135" t="s">
        <v>1813</v>
      </c>
    </row>
    <row r="258" spans="50:71" ht="18.75" hidden="1" x14ac:dyDescent="0.3">
      <c r="AX258" s="240" t="s">
        <v>2831</v>
      </c>
      <c r="AY258" s="212" t="s">
        <v>322</v>
      </c>
      <c r="AZ258" s="277">
        <f>VLOOKUP(AY258,'Tarieven ZZP'!B33:J265,9,FALSE)</f>
        <v>210.34</v>
      </c>
      <c r="BA258" s="207"/>
      <c r="BQ258" s="135">
        <v>1501</v>
      </c>
      <c r="BR258" s="135">
        <f t="shared" si="47"/>
        <v>2501</v>
      </c>
      <c r="BS258" s="135" t="s">
        <v>1813</v>
      </c>
    </row>
    <row r="259" spans="50:71" ht="18.75" hidden="1" x14ac:dyDescent="0.3">
      <c r="AX259" s="240" t="s">
        <v>2832</v>
      </c>
      <c r="AY259" s="212" t="s">
        <v>320</v>
      </c>
      <c r="AZ259" s="277">
        <f>VLOOKUP(AY259,'Tarieven ZZP'!B34:J266,9,FALSE)</f>
        <v>222.55</v>
      </c>
      <c r="BA259" s="207"/>
      <c r="BQ259" s="135">
        <v>1502</v>
      </c>
      <c r="BR259" s="135">
        <f t="shared" si="47"/>
        <v>2502</v>
      </c>
      <c r="BS259" s="135" t="s">
        <v>1813</v>
      </c>
    </row>
    <row r="260" spans="50:71" ht="18.75" hidden="1" x14ac:dyDescent="0.3">
      <c r="AX260" s="240" t="s">
        <v>2833</v>
      </c>
      <c r="AY260" s="212" t="s">
        <v>346</v>
      </c>
      <c r="AZ260" s="277">
        <f>VLOOKUP(AY260,'Tarieven ZZP'!B35:J267,9,FALSE)</f>
        <v>233.41</v>
      </c>
      <c r="BA260" s="207"/>
      <c r="BQ260" s="135">
        <v>1503</v>
      </c>
      <c r="BR260" s="135">
        <f t="shared" si="47"/>
        <v>2503</v>
      </c>
      <c r="BS260" s="135" t="s">
        <v>1813</v>
      </c>
    </row>
    <row r="261" spans="50:71" ht="18.75" hidden="1" x14ac:dyDescent="0.3">
      <c r="AX261" s="240" t="s">
        <v>2834</v>
      </c>
      <c r="AY261" s="212" t="s">
        <v>243</v>
      </c>
      <c r="AZ261" s="277">
        <f>VLOOKUP(AY261,'Tarieven ZZP'!B36:J268,9,FALSE)</f>
        <v>366.18</v>
      </c>
      <c r="BA261" s="207"/>
      <c r="BQ261" s="135">
        <v>1504</v>
      </c>
      <c r="BR261" s="135">
        <f t="shared" si="47"/>
        <v>2504</v>
      </c>
      <c r="BS261" s="135" t="s">
        <v>1813</v>
      </c>
    </row>
    <row r="262" spans="50:71" ht="18.75" hidden="1" x14ac:dyDescent="0.3">
      <c r="AX262" s="240" t="s">
        <v>2835</v>
      </c>
      <c r="AY262" s="212" t="s">
        <v>151</v>
      </c>
      <c r="AZ262" s="277">
        <f>VLOOKUP(AY262,'Tarieven ZZP'!B37:J269,9,FALSE)</f>
        <v>429.68</v>
      </c>
      <c r="BA262" s="207"/>
      <c r="BQ262" s="135">
        <v>1505</v>
      </c>
      <c r="BR262" s="135">
        <f t="shared" si="47"/>
        <v>2505</v>
      </c>
      <c r="BS262" s="135" t="s">
        <v>1813</v>
      </c>
    </row>
    <row r="263" spans="50:71" ht="18.75" hidden="1" x14ac:dyDescent="0.3">
      <c r="AX263" s="240" t="s">
        <v>2836</v>
      </c>
      <c r="AY263" s="212" t="s">
        <v>175</v>
      </c>
      <c r="AZ263" s="277">
        <f>VLOOKUP(AY263,'Tarieven ZZP'!B38:J270,9,FALSE)</f>
        <v>82.47</v>
      </c>
      <c r="BA263" s="207"/>
      <c r="BQ263" s="135">
        <v>1506</v>
      </c>
      <c r="BR263" s="135">
        <f t="shared" si="47"/>
        <v>2506</v>
      </c>
      <c r="BS263" s="135" t="s">
        <v>1813</v>
      </c>
    </row>
    <row r="264" spans="50:71" ht="18.75" hidden="1" x14ac:dyDescent="0.3">
      <c r="AX264" s="240" t="s">
        <v>2837</v>
      </c>
      <c r="AY264" s="212" t="s">
        <v>67</v>
      </c>
      <c r="AZ264" s="277">
        <f>VLOOKUP(AY264,'Tarieven ZZP'!B39:J271,9,FALSE)</f>
        <v>95.95</v>
      </c>
      <c r="BA264" s="207"/>
      <c r="BQ264" s="135">
        <v>1507</v>
      </c>
      <c r="BR264" s="135">
        <f t="shared" si="47"/>
        <v>2507</v>
      </c>
      <c r="BS264" s="135" t="s">
        <v>1813</v>
      </c>
    </row>
    <row r="265" spans="50:71" ht="18.75" hidden="1" x14ac:dyDescent="0.3">
      <c r="AX265" s="240" t="s">
        <v>2838</v>
      </c>
      <c r="AY265" s="212" t="s">
        <v>277</v>
      </c>
      <c r="AZ265" s="277">
        <f>VLOOKUP(AY265,'Tarieven ZZP'!B40:J272,9,FALSE)</f>
        <v>128.72</v>
      </c>
      <c r="BA265" s="207"/>
      <c r="BQ265" s="135">
        <v>1508</v>
      </c>
      <c r="BR265" s="135">
        <f t="shared" si="47"/>
        <v>2508</v>
      </c>
      <c r="BS265" s="135" t="s">
        <v>1813</v>
      </c>
    </row>
    <row r="266" spans="50:71" ht="18.75" hidden="1" x14ac:dyDescent="0.3">
      <c r="AX266" s="240" t="s">
        <v>2839</v>
      </c>
      <c r="AY266" s="212" t="s">
        <v>149</v>
      </c>
      <c r="AZ266" s="277">
        <f>VLOOKUP(AY266,'Tarieven ZZP'!B41:J273,9,FALSE)</f>
        <v>143.11000000000001</v>
      </c>
      <c r="BA266" s="207"/>
      <c r="BQ266" s="135">
        <v>1509</v>
      </c>
      <c r="BR266" s="135">
        <f t="shared" si="47"/>
        <v>2509</v>
      </c>
      <c r="BS266" s="135" t="s">
        <v>1813</v>
      </c>
    </row>
    <row r="267" spans="50:71" ht="18.75" hidden="1" x14ac:dyDescent="0.3">
      <c r="AX267" s="240" t="s">
        <v>2840</v>
      </c>
      <c r="AY267" s="212" t="s">
        <v>109</v>
      </c>
      <c r="AZ267" s="277">
        <f>VLOOKUP(AY267,'Tarieven ZZP'!B42:J274,9,FALSE)</f>
        <v>126.39</v>
      </c>
      <c r="BA267" s="207"/>
      <c r="BQ267" s="135">
        <v>1510</v>
      </c>
      <c r="BR267" s="135">
        <f t="shared" si="47"/>
        <v>2510</v>
      </c>
      <c r="BS267" s="135" t="s">
        <v>1813</v>
      </c>
    </row>
    <row r="268" spans="50:71" ht="18.75" hidden="1" x14ac:dyDescent="0.3">
      <c r="AX268" s="240" t="s">
        <v>2841</v>
      </c>
      <c r="AY268" s="212" t="s">
        <v>192</v>
      </c>
      <c r="AZ268" s="277">
        <f>VLOOKUP(AY268,'Tarieven ZZP'!B43:J275,9,FALSE)</f>
        <v>153.28</v>
      </c>
      <c r="BA268" s="207"/>
      <c r="BQ268" s="135">
        <v>1511</v>
      </c>
      <c r="BR268" s="135">
        <f t="shared" si="47"/>
        <v>2511</v>
      </c>
      <c r="BS268" s="135" t="s">
        <v>1813</v>
      </c>
    </row>
    <row r="269" spans="50:71" ht="18.75" hidden="1" x14ac:dyDescent="0.3">
      <c r="AX269" s="240" t="s">
        <v>2842</v>
      </c>
      <c r="AY269" s="212" t="s">
        <v>280</v>
      </c>
      <c r="AZ269" s="277">
        <f>VLOOKUP(AY269,'Tarieven ZZP'!B44:J276,9,FALSE)</f>
        <v>181.82</v>
      </c>
      <c r="BA269" s="207"/>
      <c r="BQ269" s="135">
        <v>1512</v>
      </c>
      <c r="BR269" s="135">
        <f t="shared" si="47"/>
        <v>2512</v>
      </c>
      <c r="BS269" s="135" t="s">
        <v>1813</v>
      </c>
    </row>
    <row r="270" spans="50:71" ht="18.75" hidden="1" x14ac:dyDescent="0.3">
      <c r="AX270" s="240" t="s">
        <v>2843</v>
      </c>
      <c r="AY270" s="212" t="s">
        <v>368</v>
      </c>
      <c r="AZ270" s="277">
        <f>VLOOKUP(AY270,'Tarieven ZZP'!B45:J277,9,FALSE)</f>
        <v>158.85</v>
      </c>
      <c r="BA270" s="207"/>
      <c r="BQ270" s="135">
        <v>1513</v>
      </c>
      <c r="BR270" s="135">
        <f t="shared" si="47"/>
        <v>2513</v>
      </c>
      <c r="BS270" s="135" t="s">
        <v>1813</v>
      </c>
    </row>
    <row r="271" spans="50:71" ht="18.75" hidden="1" x14ac:dyDescent="0.3">
      <c r="AX271" s="240" t="s">
        <v>2844</v>
      </c>
      <c r="AY271" s="212" t="s">
        <v>81</v>
      </c>
      <c r="AZ271" s="277">
        <f>VLOOKUP(AY271,'Tarieven ZZP'!B46:J278,9,FALSE)</f>
        <v>194.96</v>
      </c>
      <c r="BA271" s="207"/>
      <c r="BQ271" s="135">
        <v>1514</v>
      </c>
      <c r="BR271" s="135">
        <f t="shared" si="47"/>
        <v>2514</v>
      </c>
      <c r="BS271" s="135" t="s">
        <v>1813</v>
      </c>
    </row>
    <row r="272" spans="50:71" ht="18.75" hidden="1" x14ac:dyDescent="0.3">
      <c r="AX272" s="240" t="s">
        <v>2845</v>
      </c>
      <c r="AY272" s="212" t="s">
        <v>237</v>
      </c>
      <c r="AZ272" s="277">
        <f>VLOOKUP(AY272,'Tarieven ZZP'!B47:J279,9,FALSE)</f>
        <v>216.85</v>
      </c>
      <c r="BA272" s="207"/>
      <c r="BQ272" s="135">
        <v>1515</v>
      </c>
      <c r="BR272" s="135">
        <f t="shared" si="47"/>
        <v>2515</v>
      </c>
      <c r="BS272" s="135" t="s">
        <v>1813</v>
      </c>
    </row>
    <row r="273" spans="50:71" ht="18.75" hidden="1" x14ac:dyDescent="0.3">
      <c r="AX273" s="240" t="s">
        <v>2846</v>
      </c>
      <c r="AY273" s="212" t="s">
        <v>75</v>
      </c>
      <c r="AZ273" s="277">
        <f>VLOOKUP(AY273,'Tarieven ZZP'!B48:J280,9,FALSE)</f>
        <v>170.34</v>
      </c>
      <c r="BA273" s="207"/>
      <c r="BQ273" s="135">
        <v>1516</v>
      </c>
      <c r="BR273" s="135">
        <f t="shared" si="47"/>
        <v>2516</v>
      </c>
      <c r="BS273" s="135" t="s">
        <v>1813</v>
      </c>
    </row>
    <row r="274" spans="50:71" ht="18.75" hidden="1" x14ac:dyDescent="0.3">
      <c r="AX274" s="240" t="s">
        <v>2847</v>
      </c>
      <c r="AY274" s="212" t="s">
        <v>83</v>
      </c>
      <c r="AZ274" s="277">
        <f>VLOOKUP(AY274,'Tarieven ZZP'!B49:J281,9,FALSE)</f>
        <v>197.6</v>
      </c>
      <c r="BA274" s="207"/>
      <c r="BQ274" s="135">
        <v>1580</v>
      </c>
      <c r="BR274" s="135">
        <f t="shared" si="47"/>
        <v>2580</v>
      </c>
      <c r="BS274" s="135" t="s">
        <v>1813</v>
      </c>
    </row>
    <row r="275" spans="50:71" ht="18.75" hidden="1" x14ac:dyDescent="0.3">
      <c r="AX275" s="240" t="s">
        <v>2848</v>
      </c>
      <c r="AY275" s="212" t="s">
        <v>170</v>
      </c>
      <c r="AZ275" s="277">
        <f>VLOOKUP(AY275,'Tarieven ZZP'!B50:J282,9,FALSE)</f>
        <v>240.02</v>
      </c>
      <c r="BA275" s="207"/>
      <c r="BQ275" s="135">
        <v>1584</v>
      </c>
      <c r="BR275" s="135">
        <f>BQ275+1000</f>
        <v>2584</v>
      </c>
      <c r="BS275" s="135" t="s">
        <v>1813</v>
      </c>
    </row>
    <row r="276" spans="50:71" ht="18.75" hidden="1" x14ac:dyDescent="0.3">
      <c r="AX276" s="240" t="s">
        <v>2849</v>
      </c>
      <c r="AY276" s="212" t="s">
        <v>50</v>
      </c>
      <c r="AZ276" s="277">
        <f>VLOOKUP(AY276,'Tarieven ZZP'!B51:J283,9,FALSE)</f>
        <v>215.88</v>
      </c>
      <c r="BA276" s="207"/>
      <c r="BQ276" s="135">
        <v>1585</v>
      </c>
      <c r="BR276" s="135">
        <f>BQ276+1000</f>
        <v>2585</v>
      </c>
      <c r="BS276" s="135" t="s">
        <v>1813</v>
      </c>
    </row>
    <row r="277" spans="50:71" ht="18.75" hidden="1" x14ac:dyDescent="0.3">
      <c r="AX277" s="240" t="s">
        <v>2850</v>
      </c>
      <c r="AY277" s="212" t="s">
        <v>120</v>
      </c>
      <c r="AZ277" s="277">
        <f>VLOOKUP(AY277,'Tarieven ZZP'!B52:J284,9,FALSE)</f>
        <v>259.94</v>
      </c>
      <c r="BA277" s="207"/>
    </row>
    <row r="278" spans="50:71" ht="18.75" hidden="1" x14ac:dyDescent="0.3">
      <c r="AX278" s="240" t="s">
        <v>2851</v>
      </c>
      <c r="AY278" s="212" t="s">
        <v>199</v>
      </c>
      <c r="AZ278" s="277">
        <f>VLOOKUP(AY278,'Tarieven ZZP'!B53:J285,9,FALSE)</f>
        <v>296.66000000000003</v>
      </c>
      <c r="BA278" s="207"/>
    </row>
    <row r="279" spans="50:71" ht="18.75" hidden="1" x14ac:dyDescent="0.3">
      <c r="AX279" s="240" t="s">
        <v>2852</v>
      </c>
      <c r="AY279" s="212" t="s">
        <v>313</v>
      </c>
      <c r="AZ279" s="277">
        <f>VLOOKUP(AY279,'Tarieven ZZP'!B54:J286,9,FALSE)</f>
        <v>143.54</v>
      </c>
      <c r="BA279" s="207"/>
    </row>
    <row r="280" spans="50:71" ht="18.75" hidden="1" x14ac:dyDescent="0.3">
      <c r="AX280" s="240" t="s">
        <v>2853</v>
      </c>
      <c r="AY280" s="212" t="s">
        <v>185</v>
      </c>
      <c r="AZ280" s="277">
        <f>VLOOKUP(AY280,'Tarieven ZZP'!B55:J287,9,FALSE)</f>
        <v>179.05</v>
      </c>
      <c r="BA280" s="207"/>
    </row>
    <row r="281" spans="50:71" ht="18.75" hidden="1" x14ac:dyDescent="0.3">
      <c r="AX281" s="240" t="s">
        <v>2854</v>
      </c>
      <c r="AY281" s="212" t="s">
        <v>226</v>
      </c>
      <c r="AZ281" s="277">
        <f>VLOOKUP(AY281,'Tarieven ZZP'!B56:J288,9,FALSE)</f>
        <v>225.18</v>
      </c>
      <c r="BA281" s="207"/>
    </row>
    <row r="282" spans="50:71" ht="18.75" hidden="1" x14ac:dyDescent="0.3">
      <c r="AX282" s="240" t="s">
        <v>2855</v>
      </c>
      <c r="AY282" s="212" t="s">
        <v>91</v>
      </c>
      <c r="AZ282" s="277">
        <f>VLOOKUP(AY282,'Tarieven ZZP'!B57:J289,9,FALSE)</f>
        <v>194.73</v>
      </c>
      <c r="BA282" s="207"/>
    </row>
    <row r="283" spans="50:71" ht="18.75" hidden="1" x14ac:dyDescent="0.3">
      <c r="AX283" s="240" t="s">
        <v>2856</v>
      </c>
      <c r="AY283" s="212" t="s">
        <v>382</v>
      </c>
      <c r="AZ283" s="277">
        <f>VLOOKUP(AY283,'Tarieven ZZP'!B58:J290,9,FALSE)</f>
        <v>273.98</v>
      </c>
      <c r="BA283" s="207"/>
    </row>
    <row r="284" spans="50:71" ht="18.75" hidden="1" x14ac:dyDescent="0.3">
      <c r="AX284" s="240" t="s">
        <v>2857</v>
      </c>
      <c r="AY284" s="212" t="s">
        <v>122</v>
      </c>
      <c r="AZ284" s="277">
        <f>VLOOKUP(AY284,'Tarieven ZZP'!B59:J291,9,FALSE)</f>
        <v>267.10000000000002</v>
      </c>
      <c r="BA284" s="207"/>
    </row>
    <row r="285" spans="50:71" ht="18.75" hidden="1" x14ac:dyDescent="0.3">
      <c r="AX285" s="240" t="s">
        <v>2858</v>
      </c>
      <c r="AY285" s="212" t="s">
        <v>115</v>
      </c>
      <c r="AZ285" s="277">
        <f>VLOOKUP(AY285,'Tarieven ZZP'!B60:J292,9,FALSE)</f>
        <v>186.1</v>
      </c>
      <c r="BA285" s="207"/>
      <c r="BK285" s="135"/>
      <c r="BL285" s="135"/>
    </row>
    <row r="286" spans="50:71" ht="18.75" hidden="1" x14ac:dyDescent="0.3">
      <c r="AX286" s="240" t="s">
        <v>2859</v>
      </c>
      <c r="AY286" s="212" t="s">
        <v>363</v>
      </c>
      <c r="AZ286" s="277">
        <f>VLOOKUP(AY286,'Tarieven ZZP'!B61:J293,9,FALSE)</f>
        <v>218.97</v>
      </c>
      <c r="BA286" s="207"/>
      <c r="BK286" s="135"/>
      <c r="BL286" s="135"/>
    </row>
    <row r="287" spans="50:71" ht="18.75" hidden="1" x14ac:dyDescent="0.3">
      <c r="AX287" s="240" t="s">
        <v>2860</v>
      </c>
      <c r="AY287" s="212" t="s">
        <v>73</v>
      </c>
      <c r="AZ287" s="277">
        <f>VLOOKUP(AY287,'Tarieven ZZP'!B62:J294,9,FALSE)</f>
        <v>280.76</v>
      </c>
      <c r="BA287" s="207"/>
      <c r="BK287" s="135"/>
      <c r="BL287" s="135"/>
    </row>
    <row r="288" spans="50:71" ht="18.75" hidden="1" x14ac:dyDescent="0.3">
      <c r="AX288" s="240" t="s">
        <v>2861</v>
      </c>
      <c r="AY288" s="212" t="s">
        <v>60</v>
      </c>
      <c r="AZ288" s="277">
        <f>VLOOKUP(AY288,'Tarieven ZZP'!B63:J295,9,FALSE)</f>
        <v>251.38</v>
      </c>
      <c r="BA288" s="207"/>
      <c r="BK288" s="135"/>
      <c r="BL288" s="135"/>
    </row>
    <row r="289" spans="50:64" ht="18.75" hidden="1" x14ac:dyDescent="0.3">
      <c r="AX289" s="240" t="s">
        <v>2862</v>
      </c>
      <c r="AY289" s="212" t="s">
        <v>161</v>
      </c>
      <c r="AZ289" s="277">
        <f>VLOOKUP(AY289,'Tarieven ZZP'!B64:J296,9,FALSE)</f>
        <v>350.87</v>
      </c>
      <c r="BA289" s="207"/>
      <c r="BK289" s="135"/>
      <c r="BL289" s="135"/>
    </row>
    <row r="290" spans="50:64" ht="18.75" hidden="1" x14ac:dyDescent="0.3">
      <c r="AX290" s="240" t="s">
        <v>2863</v>
      </c>
      <c r="AY290" s="212" t="s">
        <v>111</v>
      </c>
      <c r="AZ290" s="277">
        <f>VLOOKUP(AY290,'Tarieven ZZP'!B65:J297,9,FALSE)</f>
        <v>345.41</v>
      </c>
      <c r="BA290" s="207"/>
      <c r="BK290" s="135"/>
      <c r="BL290" s="135"/>
    </row>
    <row r="291" spans="50:64" ht="18.75" hidden="1" x14ac:dyDescent="0.3">
      <c r="AX291" s="240" t="s">
        <v>2864</v>
      </c>
      <c r="AY291" s="212" t="s">
        <v>132</v>
      </c>
      <c r="AZ291" s="277">
        <f>VLOOKUP(AY291,'Tarieven ZZP'!B66:J298,9,FALSE)</f>
        <v>218.26</v>
      </c>
      <c r="BA291" s="207"/>
      <c r="BK291" s="135"/>
      <c r="BL291" s="135"/>
    </row>
    <row r="292" spans="50:64" ht="18.75" hidden="1" x14ac:dyDescent="0.3">
      <c r="AX292" s="240" t="s">
        <v>2865</v>
      </c>
      <c r="AY292" s="212" t="s">
        <v>388</v>
      </c>
      <c r="AZ292" s="277">
        <f>VLOOKUP(AY292,'Tarieven ZZP'!B67:J299,9,FALSE)</f>
        <v>259.58</v>
      </c>
      <c r="BA292" s="207"/>
      <c r="BK292" s="135"/>
      <c r="BL292" s="135"/>
    </row>
    <row r="293" spans="50:64" ht="18.75" hidden="1" x14ac:dyDescent="0.3">
      <c r="AX293" s="240" t="s">
        <v>2866</v>
      </c>
      <c r="AY293" s="212" t="s">
        <v>145</v>
      </c>
      <c r="AZ293" s="277">
        <f>VLOOKUP(AY293,'Tarieven ZZP'!B68:J300,9,FALSE)</f>
        <v>337.38</v>
      </c>
      <c r="BA293" s="207"/>
      <c r="BK293" s="135"/>
      <c r="BL293" s="135"/>
    </row>
    <row r="294" spans="50:64" ht="18.75" hidden="1" x14ac:dyDescent="0.3">
      <c r="AX294" s="240" t="s">
        <v>2867</v>
      </c>
      <c r="AY294" s="212" t="s">
        <v>333</v>
      </c>
      <c r="AZ294" s="277">
        <f>VLOOKUP(AY294,'Tarieven ZZP'!B69:J301,9,FALSE)</f>
        <v>385.52</v>
      </c>
      <c r="BA294" s="207"/>
      <c r="BK294" s="135"/>
      <c r="BL294" s="135"/>
    </row>
    <row r="295" spans="50:64" ht="18.75" hidden="1" x14ac:dyDescent="0.3">
      <c r="AX295" s="240" t="s">
        <v>2868</v>
      </c>
      <c r="AY295" s="212" t="s">
        <v>354</v>
      </c>
      <c r="AZ295" s="277">
        <f>VLOOKUP(AY295,'Tarieven ZZP'!B70:J302,9,FALSE)</f>
        <v>367.8</v>
      </c>
      <c r="BA295" s="207"/>
      <c r="BK295" s="135"/>
      <c r="BL295" s="135"/>
    </row>
    <row r="296" spans="50:64" ht="18.75" hidden="1" x14ac:dyDescent="0.3">
      <c r="AX296" s="240" t="s">
        <v>2869</v>
      </c>
      <c r="AY296" s="212" t="s">
        <v>564</v>
      </c>
      <c r="AZ296" s="277">
        <f>VLOOKUP(AY296,'Tarieven ZZP'!B71:J303,9,FALSE)</f>
        <v>421.16</v>
      </c>
      <c r="BA296" s="207"/>
      <c r="BK296" s="135"/>
      <c r="BL296" s="135"/>
    </row>
    <row r="297" spans="50:64" ht="18.75" hidden="1" x14ac:dyDescent="0.3">
      <c r="AX297" s="240" t="s">
        <v>2870</v>
      </c>
      <c r="AY297" s="212" t="s">
        <v>133</v>
      </c>
      <c r="AZ297" s="277">
        <f>VLOOKUP(AY297,'Tarieven ZZP'!B72:J304,9,FALSE)</f>
        <v>116.9</v>
      </c>
      <c r="BA297" s="207"/>
      <c r="BK297" s="135"/>
      <c r="BL297" s="135"/>
    </row>
    <row r="298" spans="50:64" ht="18.75" hidden="1" x14ac:dyDescent="0.3">
      <c r="AX298" s="240" t="s">
        <v>2871</v>
      </c>
      <c r="AY298" s="212" t="s">
        <v>338</v>
      </c>
      <c r="AZ298" s="277">
        <f>VLOOKUP(AY298,'Tarieven ZZP'!B73:J305,9,FALSE)</f>
        <v>148.94999999999999</v>
      </c>
      <c r="BA298" s="207"/>
      <c r="BK298" s="135"/>
      <c r="BL298" s="135"/>
    </row>
    <row r="299" spans="50:64" ht="18.75" hidden="1" x14ac:dyDescent="0.3">
      <c r="AX299" s="240" t="s">
        <v>2872</v>
      </c>
      <c r="AY299" s="212" t="s">
        <v>207</v>
      </c>
      <c r="AZ299" s="277">
        <f>VLOOKUP(AY299,'Tarieven ZZP'!B74:J306,9,FALSE)</f>
        <v>171.81</v>
      </c>
      <c r="BA299" s="207"/>
      <c r="BK299" s="135"/>
      <c r="BL299" s="135"/>
    </row>
    <row r="300" spans="50:64" ht="18.75" hidden="1" x14ac:dyDescent="0.3">
      <c r="AX300" s="240" t="s">
        <v>2873</v>
      </c>
      <c r="AY300" s="212" t="s">
        <v>116</v>
      </c>
      <c r="AZ300" s="277">
        <f>VLOOKUP(AY300,'Tarieven ZZP'!B75:J307,9,FALSE)</f>
        <v>199.01</v>
      </c>
      <c r="BA300" s="207"/>
      <c r="BK300" s="135"/>
      <c r="BL300" s="135"/>
    </row>
    <row r="301" spans="50:64" ht="18.75" hidden="1" x14ac:dyDescent="0.3">
      <c r="AX301" s="240" t="s">
        <v>2874</v>
      </c>
      <c r="AY301" s="212" t="s">
        <v>76</v>
      </c>
      <c r="AZ301" s="277">
        <f>VLOOKUP(AY301,'Tarieven ZZP'!B76:J308,9,FALSE)</f>
        <v>122.92</v>
      </c>
      <c r="BA301" s="207"/>
      <c r="BK301" s="135"/>
      <c r="BL301" s="135"/>
    </row>
    <row r="302" spans="50:64" ht="18.75" hidden="1" x14ac:dyDescent="0.3">
      <c r="AX302" s="240" t="s">
        <v>2875</v>
      </c>
      <c r="AY302" s="212" t="s">
        <v>204</v>
      </c>
      <c r="AZ302" s="277">
        <f>VLOOKUP(AY302,'Tarieven ZZP'!B77:J309,9,FALSE)</f>
        <v>177.37</v>
      </c>
      <c r="BA302" s="207"/>
      <c r="BK302" s="135"/>
      <c r="BL302" s="135"/>
    </row>
    <row r="303" spans="50:64" ht="18.75" hidden="1" x14ac:dyDescent="0.3">
      <c r="AX303" s="240" t="s">
        <v>2876</v>
      </c>
      <c r="AY303" s="212" t="s">
        <v>355</v>
      </c>
      <c r="AZ303" s="277">
        <f>VLOOKUP(AY303,'Tarieven ZZP'!B78:J310,9,FALSE)</f>
        <v>174.69</v>
      </c>
      <c r="BA303" s="207"/>
      <c r="BK303" s="135"/>
      <c r="BL303" s="135"/>
    </row>
    <row r="304" spans="50:64" ht="18.75" hidden="1" x14ac:dyDescent="0.3">
      <c r="AX304" s="240" t="s">
        <v>2877</v>
      </c>
      <c r="AY304" s="212" t="s">
        <v>180</v>
      </c>
      <c r="AZ304" s="277">
        <f>VLOOKUP(AY304,'Tarieven ZZP'!B79:J311,9,FALSE)</f>
        <v>248.29</v>
      </c>
      <c r="BA304" s="207"/>
      <c r="BK304" s="135"/>
      <c r="BL304" s="135"/>
    </row>
    <row r="305" spans="50:64" ht="18.75" hidden="1" x14ac:dyDescent="0.3">
      <c r="AX305" s="240" t="s">
        <v>2878</v>
      </c>
      <c r="AY305" s="212" t="s">
        <v>229</v>
      </c>
      <c r="AZ305" s="277">
        <f>VLOOKUP(AY305,'Tarieven ZZP'!B80:J312,9,FALSE)</f>
        <v>268.36</v>
      </c>
      <c r="BA305" s="207"/>
      <c r="BK305" s="135"/>
      <c r="BL305" s="135"/>
    </row>
    <row r="306" spans="50:64" ht="18.75" hidden="1" x14ac:dyDescent="0.3">
      <c r="AX306" s="240" t="s">
        <v>2879</v>
      </c>
      <c r="AY306" s="212" t="s">
        <v>159</v>
      </c>
      <c r="AZ306" s="277">
        <f>VLOOKUP(AY306,'Tarieven ZZP'!B81:J313,9,FALSE)</f>
        <v>178.74</v>
      </c>
      <c r="BA306" s="207"/>
      <c r="BK306" s="135"/>
      <c r="BL306" s="135"/>
    </row>
    <row r="307" spans="50:64" ht="18.75" hidden="1" x14ac:dyDescent="0.3">
      <c r="AX307" s="240" t="s">
        <v>2880</v>
      </c>
      <c r="AY307" s="212" t="s">
        <v>100</v>
      </c>
      <c r="AZ307" s="277">
        <f>VLOOKUP(AY307,'Tarieven ZZP'!B82:J314,9,FALSE)</f>
        <v>225.85</v>
      </c>
      <c r="BA307" s="207"/>
      <c r="BK307" s="135"/>
      <c r="BL307" s="135"/>
    </row>
    <row r="308" spans="50:64" ht="18.75" hidden="1" x14ac:dyDescent="0.3">
      <c r="AX308" s="240" t="s">
        <v>2881</v>
      </c>
      <c r="AY308" s="212" t="s">
        <v>152</v>
      </c>
      <c r="AZ308" s="277">
        <f>VLOOKUP(AY308,'Tarieven ZZP'!B83:J315,9,FALSE)</f>
        <v>231.72</v>
      </c>
      <c r="BA308" s="207"/>
      <c r="BK308" s="135"/>
      <c r="BL308" s="135"/>
    </row>
    <row r="309" spans="50:64" ht="18.75" hidden="1" x14ac:dyDescent="0.3">
      <c r="AX309" s="240" t="s">
        <v>2882</v>
      </c>
      <c r="AY309" s="212" t="s">
        <v>51</v>
      </c>
      <c r="AZ309" s="277">
        <f>VLOOKUP(AY309,'Tarieven ZZP'!B84:J316,9,FALSE)</f>
        <v>295.26</v>
      </c>
      <c r="BA309" s="207"/>
      <c r="BK309" s="135"/>
      <c r="BL309" s="135"/>
    </row>
    <row r="310" spans="50:64" ht="18.75" hidden="1" x14ac:dyDescent="0.3">
      <c r="AX310" s="240" t="s">
        <v>2883</v>
      </c>
      <c r="AY310" s="212" t="s">
        <v>211</v>
      </c>
      <c r="AZ310" s="277">
        <f>VLOOKUP(AY310,'Tarieven ZZP'!B85:J317,9,FALSE)</f>
        <v>314.52999999999997</v>
      </c>
      <c r="BA310" s="207"/>
      <c r="BK310" s="135"/>
      <c r="BL310" s="135"/>
    </row>
    <row r="311" spans="50:64" ht="18.75" hidden="1" x14ac:dyDescent="0.3">
      <c r="AX311" s="240" t="s">
        <v>2884</v>
      </c>
      <c r="AY311" s="212" t="s">
        <v>331</v>
      </c>
      <c r="AZ311" s="277">
        <f>VLOOKUP(AY311,'Tarieven ZZP'!B86:J318,9,FALSE)</f>
        <v>142.91</v>
      </c>
      <c r="BA311" s="207"/>
      <c r="BK311" s="135"/>
      <c r="BL311" s="135"/>
    </row>
    <row r="312" spans="50:64" ht="18.75" hidden="1" x14ac:dyDescent="0.3">
      <c r="AX312" s="240" t="s">
        <v>2885</v>
      </c>
      <c r="AY312" s="212" t="s">
        <v>118</v>
      </c>
      <c r="AZ312" s="277">
        <f>VLOOKUP(AY312,'Tarieven ZZP'!B87:J319,9,FALSE)</f>
        <v>207.52</v>
      </c>
      <c r="BA312" s="207"/>
      <c r="BK312" s="135"/>
      <c r="BL312" s="135"/>
    </row>
    <row r="313" spans="50:64" ht="18.75" hidden="1" x14ac:dyDescent="0.3">
      <c r="AX313" s="240" t="s">
        <v>2886</v>
      </c>
      <c r="AY313" s="212" t="s">
        <v>357</v>
      </c>
      <c r="AZ313" s="277">
        <f>VLOOKUP(AY313,'Tarieven ZZP'!B88:J320,9,FALSE)</f>
        <v>218.63</v>
      </c>
      <c r="BA313" s="207"/>
      <c r="BK313" s="135"/>
      <c r="BL313" s="135"/>
    </row>
    <row r="314" spans="50:64" ht="18.75" hidden="1" x14ac:dyDescent="0.3">
      <c r="AX314" s="240" t="s">
        <v>2887</v>
      </c>
      <c r="AY314" s="212" t="s">
        <v>358</v>
      </c>
      <c r="AZ314" s="277">
        <f>VLOOKUP(AY314,'Tarieven ZZP'!B89:J321,9,FALSE)</f>
        <v>293.11</v>
      </c>
      <c r="BA314" s="207"/>
      <c r="BK314" s="135"/>
      <c r="BL314" s="135"/>
    </row>
    <row r="315" spans="50:64" ht="18.75" hidden="1" x14ac:dyDescent="0.3">
      <c r="AX315" s="240" t="s">
        <v>2888</v>
      </c>
      <c r="AY315" s="212" t="s">
        <v>238</v>
      </c>
      <c r="AZ315" s="277">
        <f>VLOOKUP(AY315,'Tarieven ZZP'!B90:J322,9,FALSE)</f>
        <v>323.14</v>
      </c>
      <c r="BA315" s="207"/>
      <c r="BK315" s="135"/>
      <c r="BL315" s="135"/>
    </row>
    <row r="316" spans="50:64" ht="18.75" hidden="1" x14ac:dyDescent="0.3">
      <c r="AX316" s="240" t="s">
        <v>2889</v>
      </c>
      <c r="AY316" s="212" t="s">
        <v>140</v>
      </c>
      <c r="AZ316" s="277">
        <f>VLOOKUP(AY316,'Tarieven ZZP'!B91:J323,9,FALSE)</f>
        <v>198.93</v>
      </c>
      <c r="BA316" s="207"/>
      <c r="BK316" s="135"/>
      <c r="BL316" s="135"/>
    </row>
    <row r="317" spans="50:64" ht="18.75" hidden="1" x14ac:dyDescent="0.3">
      <c r="AX317" s="240" t="s">
        <v>2890</v>
      </c>
      <c r="AY317" s="212" t="s">
        <v>316</v>
      </c>
      <c r="AZ317" s="277">
        <f>VLOOKUP(AY317,'Tarieven ZZP'!B92:J324,9,FALSE)</f>
        <v>255</v>
      </c>
      <c r="BA317" s="207"/>
      <c r="BK317" s="135"/>
      <c r="BL317" s="135"/>
    </row>
    <row r="318" spans="50:64" ht="18.75" hidden="1" x14ac:dyDescent="0.3">
      <c r="AX318" s="240" t="s">
        <v>2891</v>
      </c>
      <c r="AY318" s="212" t="s">
        <v>84</v>
      </c>
      <c r="AZ318" s="277">
        <f>VLOOKUP(AY318,'Tarieven ZZP'!B93:J325,9,FALSE)</f>
        <v>274.66000000000003</v>
      </c>
      <c r="BA318" s="207"/>
      <c r="BK318" s="135"/>
      <c r="BL318" s="135"/>
    </row>
    <row r="319" spans="50:64" ht="18.75" hidden="1" x14ac:dyDescent="0.3">
      <c r="AX319" s="240" t="s">
        <v>2892</v>
      </c>
      <c r="AY319" s="212" t="s">
        <v>139</v>
      </c>
      <c r="AZ319" s="277">
        <f>VLOOKUP(AY319,'Tarieven ZZP'!B94:J326,9,FALSE)</f>
        <v>340.27</v>
      </c>
      <c r="BA319" s="207"/>
      <c r="BK319" s="135"/>
      <c r="BL319" s="135"/>
    </row>
    <row r="320" spans="50:64" ht="18.75" hidden="1" x14ac:dyDescent="0.3">
      <c r="AX320" s="240" t="s">
        <v>2893</v>
      </c>
      <c r="AY320" s="212" t="s">
        <v>347</v>
      </c>
      <c r="AZ320" s="277">
        <f>VLOOKUP(AY320,'Tarieven ZZP'!B95:J327,9,FALSE)</f>
        <v>351.58</v>
      </c>
      <c r="BA320" s="207"/>
      <c r="BK320" s="135"/>
      <c r="BL320" s="135"/>
    </row>
    <row r="321" spans="50:64" ht="18.75" hidden="1" x14ac:dyDescent="0.3">
      <c r="AX321" s="240" t="s">
        <v>2894</v>
      </c>
      <c r="AY321" s="212" t="s">
        <v>302</v>
      </c>
      <c r="AZ321" s="277">
        <f>VLOOKUP(AY321,'Tarieven ZZP'!B96:J328,9,FALSE)</f>
        <v>165.8</v>
      </c>
      <c r="BA321" s="207"/>
      <c r="BK321" s="135"/>
      <c r="BL321" s="135"/>
    </row>
    <row r="322" spans="50:64" ht="18.75" hidden="1" x14ac:dyDescent="0.3">
      <c r="AX322" s="240" t="s">
        <v>2895</v>
      </c>
      <c r="AY322" s="212" t="s">
        <v>86</v>
      </c>
      <c r="AZ322" s="277">
        <f>VLOOKUP(AY322,'Tarieven ZZP'!B97:J329,9,FALSE)</f>
        <v>306.66000000000003</v>
      </c>
      <c r="BA322" s="207"/>
      <c r="BK322" s="135"/>
      <c r="BL322" s="135"/>
    </row>
    <row r="323" spans="50:64" ht="18.75" hidden="1" x14ac:dyDescent="0.3">
      <c r="AX323" s="240" t="s">
        <v>2896</v>
      </c>
      <c r="AY323" s="212" t="s">
        <v>168</v>
      </c>
      <c r="AZ323" s="277">
        <f>VLOOKUP(AY323,'Tarieven ZZP'!B98:J330,9,FALSE)</f>
        <v>345.09</v>
      </c>
      <c r="BA323" s="207"/>
      <c r="BK323" s="135"/>
      <c r="BL323" s="135"/>
    </row>
    <row r="324" spans="50:64" ht="18.75" hidden="1" x14ac:dyDescent="0.3">
      <c r="AX324" s="240" t="s">
        <v>2897</v>
      </c>
      <c r="AY324" s="212" t="s">
        <v>308</v>
      </c>
      <c r="AZ324" s="277">
        <f>VLOOKUP(AY324,'Tarieven ZZP'!B99:J331,9,FALSE)</f>
        <v>199.03</v>
      </c>
      <c r="BA324" s="207"/>
      <c r="BK324" s="135"/>
      <c r="BL324" s="135"/>
    </row>
    <row r="325" spans="50:64" ht="18.75" hidden="1" x14ac:dyDescent="0.3">
      <c r="AX325" s="240" t="s">
        <v>2898</v>
      </c>
      <c r="AY325" s="212" t="s">
        <v>55</v>
      </c>
      <c r="AZ325" s="277">
        <f>VLOOKUP(AY325,'Tarieven ZZP'!B100:J332,9,FALSE)</f>
        <v>204.63</v>
      </c>
      <c r="BA325" s="207"/>
      <c r="BK325" s="135"/>
      <c r="BL325" s="135"/>
    </row>
    <row r="326" spans="50:64" ht="18.75" hidden="1" x14ac:dyDescent="0.3">
      <c r="AX326" s="240" t="s">
        <v>2899</v>
      </c>
      <c r="AY326" s="212" t="s">
        <v>171</v>
      </c>
      <c r="AZ326" s="277">
        <f>VLOOKUP(AY326,'Tarieven ZZP'!B101:J333,9,FALSE)</f>
        <v>356.43</v>
      </c>
      <c r="BA326" s="207"/>
      <c r="BK326" s="135"/>
      <c r="BL326" s="135"/>
    </row>
    <row r="327" spans="50:64" ht="18.75" hidden="1" x14ac:dyDescent="0.3">
      <c r="AX327" s="240" t="s">
        <v>2900</v>
      </c>
      <c r="AY327" s="212" t="s">
        <v>56</v>
      </c>
      <c r="AZ327" s="277">
        <f>VLOOKUP(AY327,'Tarieven ZZP'!B102:J334,9,FALSE)</f>
        <v>388.11</v>
      </c>
      <c r="BA327" s="207"/>
      <c r="BK327" s="135"/>
      <c r="BL327" s="135"/>
    </row>
    <row r="328" spans="50:64" ht="18.75" hidden="1" x14ac:dyDescent="0.3">
      <c r="AX328" s="240" t="s">
        <v>2901</v>
      </c>
      <c r="AY328" s="212" t="s">
        <v>330</v>
      </c>
      <c r="AZ328" s="277">
        <f>VLOOKUP(AY328,'Tarieven ZZP'!B103:J335,9,FALSE)</f>
        <v>261.43</v>
      </c>
      <c r="BA328" s="207"/>
      <c r="BK328" s="135"/>
      <c r="BL328" s="135"/>
    </row>
    <row r="329" spans="50:64" ht="18.75" hidden="1" x14ac:dyDescent="0.3">
      <c r="AX329" s="240" t="s">
        <v>2902</v>
      </c>
      <c r="AY329" s="212" t="s">
        <v>369</v>
      </c>
      <c r="AZ329" s="277">
        <f>VLOOKUP(AY329,'Tarieven ZZP'!B104:J336,9,FALSE)</f>
        <v>160.63999999999999</v>
      </c>
      <c r="BA329" s="207"/>
      <c r="BK329" s="135"/>
      <c r="BL329" s="135"/>
    </row>
    <row r="330" spans="50:64" ht="18.75" hidden="1" x14ac:dyDescent="0.3">
      <c r="AX330" s="240" t="s">
        <v>2903</v>
      </c>
      <c r="AY330" s="212" t="s">
        <v>296</v>
      </c>
      <c r="AZ330" s="277">
        <f>VLOOKUP(AY330,'Tarieven ZZP'!B105:J337,9,FALSE)</f>
        <v>313.37</v>
      </c>
      <c r="BA330" s="207"/>
      <c r="BK330" s="135"/>
      <c r="BL330" s="135"/>
    </row>
    <row r="331" spans="50:64" ht="18.75" hidden="1" x14ac:dyDescent="0.3">
      <c r="AX331" s="240" t="s">
        <v>2904</v>
      </c>
      <c r="AY331" s="212" t="s">
        <v>311</v>
      </c>
      <c r="AZ331" s="277">
        <f>VLOOKUP(AY331,'Tarieven ZZP'!B106:J338,9,FALSE)</f>
        <v>357.86</v>
      </c>
      <c r="BA331" s="207"/>
      <c r="BK331" s="135"/>
      <c r="BL331" s="135"/>
    </row>
    <row r="332" spans="50:64" ht="18.75" hidden="1" x14ac:dyDescent="0.3">
      <c r="AX332" s="240" t="s">
        <v>2905</v>
      </c>
      <c r="AY332" s="212" t="s">
        <v>348</v>
      </c>
      <c r="AZ332" s="277">
        <f>VLOOKUP(AY332,'Tarieven ZZP'!B107:J339,9,FALSE)</f>
        <v>233.42</v>
      </c>
      <c r="BA332" s="207"/>
      <c r="BK332" s="135"/>
      <c r="BL332" s="135"/>
    </row>
    <row r="333" spans="50:64" ht="18.75" hidden="1" x14ac:dyDescent="0.3">
      <c r="AX333" s="240" t="s">
        <v>2906</v>
      </c>
      <c r="AY333" s="212" t="s">
        <v>359</v>
      </c>
      <c r="AZ333" s="277">
        <f>VLOOKUP(AY333,'Tarieven ZZP'!B108:J340,9,FALSE)</f>
        <v>214.44</v>
      </c>
      <c r="BA333" s="207"/>
      <c r="BK333" s="135"/>
      <c r="BL333" s="135"/>
    </row>
    <row r="334" spans="50:64" ht="18.75" hidden="1" x14ac:dyDescent="0.3">
      <c r="AX334" s="240" t="s">
        <v>2907</v>
      </c>
      <c r="AY334" s="212" t="s">
        <v>52</v>
      </c>
      <c r="AZ334" s="277">
        <f>VLOOKUP(AY334,'Tarieven ZZP'!B109:J341,9,FALSE)</f>
        <v>390.88</v>
      </c>
      <c r="BA334" s="207"/>
      <c r="BK334" s="135"/>
      <c r="BL334" s="135"/>
    </row>
    <row r="335" spans="50:64" ht="18.75" hidden="1" x14ac:dyDescent="0.3">
      <c r="AX335" s="240" t="s">
        <v>2908</v>
      </c>
      <c r="AY335" s="212" t="s">
        <v>303</v>
      </c>
      <c r="AZ335" s="277">
        <f>VLOOKUP(AY335,'Tarieven ZZP'!B110:J342,9,FALSE)</f>
        <v>457.94</v>
      </c>
      <c r="BA335" s="207"/>
      <c r="BK335" s="135"/>
      <c r="BL335" s="135"/>
    </row>
    <row r="336" spans="50:64" ht="18.75" hidden="1" x14ac:dyDescent="0.3">
      <c r="AX336" s="240" t="s">
        <v>2909</v>
      </c>
      <c r="AY336" s="212" t="s">
        <v>71</v>
      </c>
      <c r="AZ336" s="277">
        <f>VLOOKUP(AY336,'Tarieven ZZP'!B111:J343,9,FALSE)</f>
        <v>295.83</v>
      </c>
      <c r="BA336" s="207"/>
      <c r="BK336" s="135"/>
      <c r="BL336" s="135"/>
    </row>
    <row r="337" spans="50:64" ht="18.75" hidden="1" x14ac:dyDescent="0.3">
      <c r="AX337" s="240" t="s">
        <v>2910</v>
      </c>
      <c r="AY337" s="212" t="s">
        <v>117</v>
      </c>
      <c r="AZ337" s="277">
        <f>VLOOKUP(AY337,'Tarieven ZZP'!B112:J344,9,FALSE)</f>
        <v>106.52</v>
      </c>
      <c r="BA337" s="207"/>
      <c r="BK337" s="135"/>
      <c r="BL337" s="135"/>
    </row>
    <row r="338" spans="50:64" ht="18.75" hidden="1" x14ac:dyDescent="0.3">
      <c r="AX338" s="240" t="s">
        <v>2911</v>
      </c>
      <c r="AY338" s="212" t="s">
        <v>96</v>
      </c>
      <c r="AZ338" s="277">
        <f>VLOOKUP(AY338,'Tarieven ZZP'!B113:J345,9,FALSE)</f>
        <v>144.35</v>
      </c>
      <c r="BA338" s="207"/>
      <c r="BK338" s="135"/>
      <c r="BL338" s="135"/>
    </row>
    <row r="339" spans="50:64" ht="18.75" hidden="1" x14ac:dyDescent="0.3">
      <c r="AX339" s="240" t="s">
        <v>2912</v>
      </c>
      <c r="AY339" s="212" t="s">
        <v>293</v>
      </c>
      <c r="AZ339" s="277">
        <f>VLOOKUP(AY339,'Tarieven ZZP'!B114:J346,9,FALSE)</f>
        <v>159.99</v>
      </c>
      <c r="BA339" s="207"/>
      <c r="BK339" s="135"/>
      <c r="BL339" s="135"/>
    </row>
    <row r="340" spans="50:64" ht="18.75" hidden="1" x14ac:dyDescent="0.3">
      <c r="AX340" s="240" t="s">
        <v>2913</v>
      </c>
      <c r="AY340" s="212" t="s">
        <v>87</v>
      </c>
      <c r="AZ340" s="277">
        <f>VLOOKUP(AY340,'Tarieven ZZP'!B115:J347,9,FALSE)</f>
        <v>190.36</v>
      </c>
      <c r="BA340" s="207"/>
      <c r="BK340" s="135"/>
      <c r="BL340" s="135"/>
    </row>
    <row r="341" spans="50:64" ht="18.75" hidden="1" x14ac:dyDescent="0.3">
      <c r="AX341" s="240" t="s">
        <v>2914</v>
      </c>
      <c r="AY341" s="212" t="s">
        <v>361</v>
      </c>
      <c r="AZ341" s="277">
        <f>VLOOKUP(AY341,'Tarieven ZZP'!B116:J348,9,FALSE)</f>
        <v>170.26</v>
      </c>
      <c r="BA341" s="207"/>
      <c r="BK341" s="135"/>
      <c r="BL341" s="135"/>
    </row>
    <row r="342" spans="50:64" ht="18.75" hidden="1" x14ac:dyDescent="0.3">
      <c r="AX342" s="240" t="s">
        <v>2915</v>
      </c>
      <c r="AY342" s="212" t="s">
        <v>232</v>
      </c>
      <c r="AZ342" s="277">
        <f>VLOOKUP(AY342,'Tarieven ZZP'!B117:J349,9,FALSE)</f>
        <v>208.86</v>
      </c>
      <c r="BA342" s="207"/>
      <c r="BK342" s="135"/>
      <c r="BL342" s="135"/>
    </row>
    <row r="343" spans="50:64" ht="18.75" hidden="1" x14ac:dyDescent="0.3">
      <c r="AX343" s="240" t="s">
        <v>2916</v>
      </c>
      <c r="AY343" s="212" t="s">
        <v>215</v>
      </c>
      <c r="AZ343" s="277">
        <f>VLOOKUP(AY343,'Tarieven ZZP'!B118:J350,9,FALSE)</f>
        <v>231.99</v>
      </c>
      <c r="BA343" s="207"/>
      <c r="BK343" s="135"/>
      <c r="BL343" s="135"/>
    </row>
    <row r="344" spans="50:64" ht="18.75" hidden="1" x14ac:dyDescent="0.3">
      <c r="AX344" s="240" t="s">
        <v>2917</v>
      </c>
      <c r="AY344" s="212" t="s">
        <v>172</v>
      </c>
      <c r="AZ344" s="277">
        <f>VLOOKUP(AY344,'Tarieven ZZP'!B119:J351,9,FALSE)</f>
        <v>216.29</v>
      </c>
      <c r="BA344" s="207"/>
      <c r="BK344" s="135"/>
      <c r="BL344" s="135"/>
    </row>
    <row r="345" spans="50:64" ht="18.75" hidden="1" x14ac:dyDescent="0.3">
      <c r="AX345" s="240" t="s">
        <v>2918</v>
      </c>
      <c r="AY345" s="212" t="s">
        <v>218</v>
      </c>
      <c r="AZ345" s="277">
        <f>VLOOKUP(AY345,'Tarieven ZZP'!B120:J352,9,FALSE)</f>
        <v>269.36</v>
      </c>
      <c r="BA345" s="207"/>
      <c r="BK345" s="135"/>
      <c r="BL345" s="135"/>
    </row>
    <row r="346" spans="50:64" ht="18.75" hidden="1" x14ac:dyDescent="0.3">
      <c r="AX346" s="240" t="s">
        <v>2919</v>
      </c>
      <c r="AY346" s="212" t="s">
        <v>189</v>
      </c>
      <c r="AZ346" s="277">
        <f>VLOOKUP(AY346,'Tarieven ZZP'!B121:J353,9,FALSE)</f>
        <v>294.36</v>
      </c>
      <c r="BA346" s="207"/>
      <c r="BK346" s="135"/>
      <c r="BL346" s="135"/>
    </row>
    <row r="347" spans="50:64" ht="18.75" hidden="1" x14ac:dyDescent="0.3">
      <c r="AX347" s="240" t="s">
        <v>2920</v>
      </c>
      <c r="AY347" s="212" t="s">
        <v>379</v>
      </c>
      <c r="AZ347" s="277">
        <f>VLOOKUP(AY347,'Tarieven ZZP'!B122:J354,9,FALSE)</f>
        <v>194.87</v>
      </c>
      <c r="BA347" s="207"/>
      <c r="BK347" s="135"/>
      <c r="BL347" s="135"/>
    </row>
    <row r="348" spans="50:64" ht="18.75" hidden="1" x14ac:dyDescent="0.3">
      <c r="AX348" s="240" t="s">
        <v>2921</v>
      </c>
      <c r="AY348" s="212" t="s">
        <v>261</v>
      </c>
      <c r="AZ348" s="277">
        <f>VLOOKUP(AY348,'Tarieven ZZP'!B123:J355,9,FALSE)</f>
        <v>241.64</v>
      </c>
      <c r="BA348" s="207"/>
      <c r="BK348" s="135"/>
      <c r="BL348" s="135"/>
    </row>
    <row r="349" spans="50:64" ht="18.75" hidden="1" x14ac:dyDescent="0.3">
      <c r="AX349" s="240" t="s">
        <v>2922</v>
      </c>
      <c r="AY349" s="212" t="s">
        <v>85</v>
      </c>
      <c r="AZ349" s="277">
        <f>VLOOKUP(AY349,'Tarieven ZZP'!B124:J356,9,FALSE)</f>
        <v>269.32</v>
      </c>
      <c r="BA349" s="207"/>
      <c r="BK349" s="135"/>
      <c r="BL349" s="135"/>
    </row>
    <row r="350" spans="50:64" ht="18.75" hidden="1" x14ac:dyDescent="0.3">
      <c r="AX350" s="240" t="s">
        <v>2923</v>
      </c>
      <c r="AY350" s="212" t="s">
        <v>77</v>
      </c>
      <c r="AZ350" s="277">
        <f>VLOOKUP(AY350,'Tarieven ZZP'!B125:J357,9,FALSE)</f>
        <v>240.9</v>
      </c>
      <c r="BA350" s="207"/>
      <c r="BK350" s="135"/>
      <c r="BL350" s="135"/>
    </row>
    <row r="351" spans="50:64" ht="18.75" hidden="1" x14ac:dyDescent="0.3">
      <c r="AX351" s="240" t="s">
        <v>2924</v>
      </c>
      <c r="AY351" s="212" t="s">
        <v>208</v>
      </c>
      <c r="AZ351" s="277">
        <f>VLOOKUP(AY351,'Tarieven ZZP'!B126:J358,9,FALSE)</f>
        <v>302.12</v>
      </c>
      <c r="BA351" s="207"/>
      <c r="BK351" s="135"/>
      <c r="BL351" s="135"/>
    </row>
    <row r="352" spans="50:64" ht="18.75" hidden="1" x14ac:dyDescent="0.3">
      <c r="AX352" s="240" t="s">
        <v>2925</v>
      </c>
      <c r="AY352" s="212" t="s">
        <v>239</v>
      </c>
      <c r="AZ352" s="277">
        <f>VLOOKUP(AY352,'Tarieven ZZP'!B127:J359,9,FALSE)</f>
        <v>331.67</v>
      </c>
      <c r="BA352" s="207"/>
      <c r="BK352" s="135"/>
      <c r="BL352" s="135"/>
    </row>
    <row r="353" spans="50:64" ht="18.75" hidden="1" x14ac:dyDescent="0.3">
      <c r="AX353" s="240"/>
      <c r="AY353" s="144"/>
      <c r="AZ353" s="278"/>
      <c r="BA353" s="207"/>
      <c r="BK353" s="135"/>
      <c r="BL353" s="135"/>
    </row>
    <row r="354" spans="50:64" ht="18.75" hidden="1" x14ac:dyDescent="0.3">
      <c r="AX354" s="240"/>
      <c r="AY354" s="144"/>
      <c r="AZ354" s="278"/>
      <c r="BA354" s="207"/>
      <c r="BK354" s="135"/>
      <c r="BL354" s="135"/>
    </row>
    <row r="355" spans="50:64" ht="18.75" hidden="1" x14ac:dyDescent="0.3">
      <c r="AX355" s="240"/>
      <c r="AY355" s="144"/>
      <c r="AZ355" s="278"/>
      <c r="BA355" s="207"/>
      <c r="BK355" s="135"/>
      <c r="BL355" s="135"/>
    </row>
    <row r="356" spans="50:64" ht="18.75" hidden="1" x14ac:dyDescent="0.3">
      <c r="AX356" s="240"/>
      <c r="AY356" s="144"/>
      <c r="AZ356" s="278"/>
      <c r="BA356" s="207"/>
      <c r="BK356" s="135"/>
      <c r="BL356" s="135"/>
    </row>
    <row r="357" spans="50:64" ht="18.75" hidden="1" x14ac:dyDescent="0.3">
      <c r="AX357" s="240"/>
      <c r="AY357" s="144"/>
      <c r="AZ357" s="278"/>
      <c r="BA357" s="207"/>
      <c r="BK357" s="135"/>
      <c r="BL357" s="135"/>
    </row>
    <row r="358" spans="50:64" ht="18.75" hidden="1" x14ac:dyDescent="0.3">
      <c r="AX358" s="240"/>
      <c r="AY358" s="144"/>
      <c r="AZ358" s="278"/>
      <c r="BA358" s="207"/>
      <c r="BK358" s="135"/>
      <c r="BL358" s="135"/>
    </row>
    <row r="359" spans="50:64" ht="18.75" hidden="1" x14ac:dyDescent="0.3">
      <c r="AX359" s="240"/>
      <c r="AY359" s="144"/>
      <c r="AZ359" s="278"/>
      <c r="BA359" s="207"/>
      <c r="BK359" s="135"/>
      <c r="BL359" s="135"/>
    </row>
    <row r="360" spans="50:64" ht="18.75" hidden="1" x14ac:dyDescent="0.3">
      <c r="AX360" s="240"/>
      <c r="AY360" s="144"/>
      <c r="AZ360" s="278"/>
      <c r="BA360" s="207"/>
      <c r="BK360" s="135"/>
      <c r="BL360" s="135"/>
    </row>
    <row r="361" spans="50:64" ht="18.75" hidden="1" x14ac:dyDescent="0.3">
      <c r="AX361" s="240"/>
      <c r="AY361" s="144"/>
      <c r="AZ361" s="278"/>
      <c r="BA361" s="207"/>
      <c r="BK361" s="135"/>
      <c r="BL361" s="135"/>
    </row>
    <row r="362" spans="50:64" ht="18.75" hidden="1" x14ac:dyDescent="0.3">
      <c r="AX362" s="240"/>
      <c r="AY362" s="144"/>
      <c r="AZ362" s="278"/>
      <c r="BA362" s="207"/>
      <c r="BK362" s="135"/>
      <c r="BL362" s="135"/>
    </row>
    <row r="363" spans="50:64" ht="18.75" hidden="1" x14ac:dyDescent="0.3">
      <c r="AX363" s="240"/>
      <c r="AY363" s="144"/>
      <c r="AZ363" s="278"/>
      <c r="BA363" s="207"/>
      <c r="BK363" s="135"/>
      <c r="BL363" s="135"/>
    </row>
    <row r="364" spans="50:64" ht="18.75" hidden="1" x14ac:dyDescent="0.3">
      <c r="AX364" s="240"/>
      <c r="AY364" s="144"/>
      <c r="AZ364" s="278"/>
      <c r="BA364" s="207"/>
      <c r="BK364" s="135"/>
      <c r="BL364" s="135"/>
    </row>
    <row r="365" spans="50:64" ht="18.75" hidden="1" x14ac:dyDescent="0.3">
      <c r="AX365" s="240"/>
      <c r="AY365" s="144"/>
      <c r="AZ365" s="278"/>
      <c r="BA365" s="207"/>
      <c r="BK365" s="135"/>
      <c r="BL365" s="135"/>
    </row>
    <row r="366" spans="50:64" ht="18.75" hidden="1" x14ac:dyDescent="0.3">
      <c r="AX366" s="240"/>
      <c r="AY366" s="144"/>
      <c r="AZ366" s="278"/>
      <c r="BA366" s="207"/>
      <c r="BK366" s="135"/>
      <c r="BL366" s="135"/>
    </row>
    <row r="367" spans="50:64" ht="18.75" hidden="1" x14ac:dyDescent="0.3">
      <c r="AX367" s="240"/>
      <c r="AY367" s="144"/>
      <c r="AZ367" s="278"/>
      <c r="BA367" s="207"/>
      <c r="BK367" s="135"/>
      <c r="BL367" s="135"/>
    </row>
    <row r="368" spans="50:64" ht="18.75" hidden="1" x14ac:dyDescent="0.3">
      <c r="AX368" s="240"/>
      <c r="AY368" s="144"/>
      <c r="AZ368" s="278"/>
      <c r="BA368" s="207"/>
      <c r="BK368" s="135"/>
      <c r="BL368" s="135"/>
    </row>
    <row r="369" spans="50:64" ht="18.75" hidden="1" x14ac:dyDescent="0.3">
      <c r="AX369" s="240"/>
      <c r="AY369" s="144"/>
      <c r="AZ369" s="278"/>
      <c r="BA369" s="207"/>
      <c r="BK369" s="135"/>
      <c r="BL369" s="135"/>
    </row>
    <row r="370" spans="50:64" ht="18.75" hidden="1" x14ac:dyDescent="0.3">
      <c r="AX370" s="240"/>
      <c r="AY370" s="144"/>
      <c r="AZ370" s="278"/>
      <c r="BA370" s="207"/>
      <c r="BK370" s="135"/>
      <c r="BL370" s="135"/>
    </row>
    <row r="371" spans="50:64" ht="18.75" hidden="1" x14ac:dyDescent="0.3">
      <c r="AX371" s="240"/>
      <c r="AY371" s="144"/>
      <c r="AZ371" s="278"/>
      <c r="BA371" s="207"/>
      <c r="BK371" s="135"/>
      <c r="BL371" s="135"/>
    </row>
    <row r="372" spans="50:64" ht="18.75" hidden="1" x14ac:dyDescent="0.3">
      <c r="AX372" s="240"/>
      <c r="AY372" s="144"/>
      <c r="AZ372" s="278"/>
      <c r="BA372" s="207"/>
      <c r="BK372" s="135"/>
      <c r="BL372" s="135"/>
    </row>
    <row r="373" spans="50:64" ht="18.75" hidden="1" x14ac:dyDescent="0.3">
      <c r="AX373" s="240"/>
      <c r="AY373" s="144"/>
      <c r="AZ373" s="278"/>
      <c r="BA373" s="207"/>
      <c r="BK373" s="135"/>
      <c r="BL373" s="135"/>
    </row>
    <row r="374" spans="50:64" ht="18.75" hidden="1" x14ac:dyDescent="0.3">
      <c r="AX374" s="240"/>
      <c r="AY374" s="144"/>
      <c r="AZ374" s="278"/>
      <c r="BA374" s="207"/>
      <c r="BK374" s="135"/>
      <c r="BL374" s="135"/>
    </row>
    <row r="375" spans="50:64" ht="18.75" hidden="1" x14ac:dyDescent="0.3">
      <c r="AX375" s="240"/>
      <c r="AY375" s="144"/>
      <c r="AZ375" s="278"/>
      <c r="BA375" s="207"/>
      <c r="BK375" s="135"/>
      <c r="BL375" s="135"/>
    </row>
    <row r="376" spans="50:64" ht="18.75" hidden="1" x14ac:dyDescent="0.3">
      <c r="AX376" s="240"/>
      <c r="AY376" s="144"/>
      <c r="AZ376" s="278"/>
      <c r="BA376" s="207"/>
      <c r="BK376" s="135"/>
      <c r="BL376" s="135"/>
    </row>
    <row r="377" spans="50:64" ht="18.75" hidden="1" x14ac:dyDescent="0.3">
      <c r="AX377" s="240"/>
      <c r="AY377" s="144"/>
      <c r="AZ377" s="278"/>
      <c r="BA377" s="207"/>
      <c r="BK377" s="135"/>
      <c r="BL377" s="135"/>
    </row>
    <row r="378" spans="50:64" ht="18.75" hidden="1" x14ac:dyDescent="0.3">
      <c r="AX378" s="240"/>
      <c r="AY378" s="144"/>
      <c r="AZ378" s="278"/>
      <c r="BA378" s="207"/>
      <c r="BK378" s="135"/>
      <c r="BL378" s="135"/>
    </row>
    <row r="379" spans="50:64" ht="18.75" hidden="1" x14ac:dyDescent="0.3">
      <c r="AX379" s="240"/>
      <c r="AY379" s="144"/>
      <c r="AZ379" s="278"/>
      <c r="BA379" s="207"/>
      <c r="BK379" s="135"/>
      <c r="BL379" s="135"/>
    </row>
    <row r="380" spans="50:64" ht="18.75" hidden="1" x14ac:dyDescent="0.3">
      <c r="AX380" s="240"/>
      <c r="AY380" s="144"/>
      <c r="AZ380" s="278"/>
      <c r="BA380" s="207"/>
      <c r="BK380" s="135"/>
      <c r="BL380" s="135"/>
    </row>
    <row r="381" spans="50:64" ht="18.75" hidden="1" x14ac:dyDescent="0.3">
      <c r="AX381" s="240"/>
      <c r="AY381" s="144"/>
      <c r="AZ381" s="278"/>
      <c r="BA381" s="207"/>
      <c r="BK381" s="135"/>
      <c r="BL381" s="135"/>
    </row>
    <row r="382" spans="50:64" ht="18.75" hidden="1" x14ac:dyDescent="0.3">
      <c r="AX382" s="240"/>
      <c r="AY382" s="144"/>
      <c r="AZ382" s="278"/>
      <c r="BA382" s="207"/>
      <c r="BK382" s="135"/>
      <c r="BL382" s="135"/>
    </row>
    <row r="383" spans="50:64" ht="18.75" hidden="1" x14ac:dyDescent="0.3">
      <c r="AX383" s="240"/>
      <c r="AY383" s="144"/>
      <c r="AZ383" s="278"/>
      <c r="BA383" s="207"/>
      <c r="BK383" s="135"/>
      <c r="BL383" s="135"/>
    </row>
    <row r="384" spans="50:64" ht="18.75" hidden="1" x14ac:dyDescent="0.3">
      <c r="AX384" s="240"/>
      <c r="AY384" s="144"/>
      <c r="AZ384" s="278"/>
      <c r="BA384" s="207"/>
      <c r="BK384" s="135"/>
      <c r="BL384" s="135"/>
    </row>
    <row r="385" spans="50:64" ht="18.75" hidden="1" x14ac:dyDescent="0.3">
      <c r="AX385" s="240"/>
      <c r="AY385" s="144"/>
      <c r="AZ385" s="278"/>
      <c r="BA385" s="207"/>
      <c r="BK385" s="135"/>
      <c r="BL385" s="135"/>
    </row>
    <row r="386" spans="50:64" ht="18.75" hidden="1" x14ac:dyDescent="0.3">
      <c r="AX386" s="240"/>
      <c r="AY386" s="144"/>
      <c r="AZ386" s="278"/>
      <c r="BA386" s="207"/>
      <c r="BK386" s="135"/>
      <c r="BL386" s="135"/>
    </row>
    <row r="387" spans="50:64" ht="18.75" hidden="1" x14ac:dyDescent="0.3">
      <c r="AX387" s="240"/>
      <c r="AY387" s="144"/>
      <c r="AZ387" s="278"/>
      <c r="BA387" s="207"/>
      <c r="BK387" s="135"/>
      <c r="BL387" s="135"/>
    </row>
    <row r="388" spans="50:64" ht="18.75" hidden="1" x14ac:dyDescent="0.3">
      <c r="AX388" s="240"/>
      <c r="AY388" s="144"/>
      <c r="AZ388" s="278"/>
      <c r="BA388" s="207"/>
      <c r="BK388" s="135"/>
      <c r="BL388" s="135"/>
    </row>
    <row r="389" spans="50:64" ht="18.75" hidden="1" x14ac:dyDescent="0.3">
      <c r="AX389" s="240"/>
      <c r="AY389" s="144"/>
      <c r="AZ389" s="278"/>
      <c r="BA389" s="207"/>
      <c r="BK389" s="135"/>
      <c r="BL389" s="135"/>
    </row>
    <row r="390" spans="50:64" ht="18.75" hidden="1" x14ac:dyDescent="0.3">
      <c r="AX390" s="240"/>
      <c r="AY390" s="144"/>
      <c r="AZ390" s="278"/>
      <c r="BA390" s="207"/>
      <c r="BK390" s="135"/>
      <c r="BL390" s="135"/>
    </row>
    <row r="391" spans="50:64" ht="18.75" hidden="1" x14ac:dyDescent="0.3">
      <c r="AX391" s="240"/>
      <c r="AY391" s="144"/>
      <c r="AZ391" s="278"/>
      <c r="BA391" s="207"/>
      <c r="BK391" s="135"/>
      <c r="BL391" s="135"/>
    </row>
    <row r="392" spans="50:64" ht="18.75" hidden="1" x14ac:dyDescent="0.3">
      <c r="AX392" s="240"/>
      <c r="AY392" s="144"/>
      <c r="AZ392" s="278"/>
      <c r="BA392" s="207"/>
      <c r="BK392" s="135"/>
      <c r="BL392" s="135"/>
    </row>
    <row r="393" spans="50:64" ht="18.75" hidden="1" x14ac:dyDescent="0.3">
      <c r="AX393" s="240"/>
      <c r="AY393" s="144"/>
      <c r="AZ393" s="278"/>
      <c r="BA393" s="207"/>
      <c r="BK393" s="135"/>
      <c r="BL393" s="135"/>
    </row>
    <row r="394" spans="50:64" ht="18.75" hidden="1" x14ac:dyDescent="0.3">
      <c r="AX394" s="240"/>
      <c r="AY394" s="144"/>
      <c r="AZ394" s="278"/>
      <c r="BA394" s="207"/>
      <c r="BK394" s="135"/>
      <c r="BL394" s="135"/>
    </row>
    <row r="395" spans="50:64" ht="18.75" hidden="1" x14ac:dyDescent="0.3">
      <c r="AX395" s="240"/>
      <c r="AY395" s="144"/>
      <c r="AZ395" s="278"/>
      <c r="BA395" s="207"/>
      <c r="BK395" s="135"/>
      <c r="BL395" s="135"/>
    </row>
    <row r="396" spans="50:64" ht="18.75" hidden="1" x14ac:dyDescent="0.3">
      <c r="AX396" s="240"/>
      <c r="AY396" s="144"/>
      <c r="AZ396" s="278"/>
      <c r="BA396" s="207"/>
      <c r="BK396" s="135"/>
      <c r="BL396" s="135"/>
    </row>
    <row r="397" spans="50:64" ht="18.75" hidden="1" x14ac:dyDescent="0.3">
      <c r="AX397" s="240"/>
      <c r="AY397" s="144"/>
      <c r="AZ397" s="278"/>
      <c r="BA397" s="207"/>
      <c r="BK397" s="135"/>
      <c r="BL397" s="135"/>
    </row>
    <row r="398" spans="50:64" ht="18.75" hidden="1" x14ac:dyDescent="0.3">
      <c r="AX398" s="240"/>
      <c r="AY398" s="144"/>
      <c r="AZ398" s="278"/>
      <c r="BA398" s="207"/>
      <c r="BK398" s="135"/>
      <c r="BL398" s="135"/>
    </row>
    <row r="399" spans="50:64" ht="18.75" hidden="1" x14ac:dyDescent="0.3">
      <c r="AX399" s="240"/>
      <c r="AY399" s="144"/>
      <c r="AZ399" s="278"/>
      <c r="BA399" s="207"/>
      <c r="BK399" s="135"/>
      <c r="BL399" s="135"/>
    </row>
    <row r="400" spans="50:64" ht="18.75" hidden="1" x14ac:dyDescent="0.3">
      <c r="AX400" s="240"/>
      <c r="AY400" s="144"/>
      <c r="AZ400" s="278"/>
      <c r="BA400" s="207"/>
      <c r="BK400" s="135"/>
      <c r="BL400" s="135"/>
    </row>
    <row r="401" spans="50:64" ht="18.75" hidden="1" x14ac:dyDescent="0.3">
      <c r="AX401" s="240"/>
      <c r="AY401" s="144"/>
      <c r="AZ401" s="278"/>
      <c r="BA401" s="207"/>
      <c r="BK401" s="135"/>
      <c r="BL401" s="135"/>
    </row>
    <row r="402" spans="50:64" ht="18.75" hidden="1" x14ac:dyDescent="0.3">
      <c r="AX402" s="240"/>
      <c r="AY402" s="144"/>
      <c r="AZ402" s="278"/>
      <c r="BA402" s="207"/>
      <c r="BK402" s="135"/>
      <c r="BL402" s="135"/>
    </row>
    <row r="403" spans="50:64" ht="18.75" hidden="1" x14ac:dyDescent="0.3">
      <c r="AX403" s="240"/>
      <c r="AY403" s="144"/>
      <c r="AZ403" s="278"/>
      <c r="BA403" s="207"/>
      <c r="BK403" s="135"/>
      <c r="BL403" s="135"/>
    </row>
    <row r="404" spans="50:64" ht="18.75" hidden="1" x14ac:dyDescent="0.3">
      <c r="AX404" s="240"/>
      <c r="AY404" s="144"/>
      <c r="AZ404" s="278"/>
      <c r="BA404" s="207"/>
      <c r="BK404" s="135"/>
      <c r="BL404" s="135"/>
    </row>
    <row r="405" spans="50:64" ht="18.75" hidden="1" x14ac:dyDescent="0.3">
      <c r="AX405" s="240"/>
      <c r="AY405" s="144"/>
      <c r="AZ405" s="278"/>
      <c r="BA405" s="207"/>
      <c r="BK405" s="135"/>
      <c r="BL405" s="135"/>
    </row>
    <row r="406" spans="50:64" ht="18.75" hidden="1" x14ac:dyDescent="0.3">
      <c r="AX406" s="240"/>
      <c r="AY406" s="144"/>
      <c r="AZ406" s="278"/>
      <c r="BA406" s="207"/>
      <c r="BK406" s="135"/>
      <c r="BL406" s="135"/>
    </row>
    <row r="407" spans="50:64" ht="18.75" hidden="1" x14ac:dyDescent="0.3">
      <c r="AX407" s="240"/>
      <c r="AY407" s="144"/>
      <c r="AZ407" s="278"/>
      <c r="BA407" s="207"/>
      <c r="BK407" s="135"/>
      <c r="BL407" s="135"/>
    </row>
    <row r="408" spans="50:64" ht="18.75" hidden="1" x14ac:dyDescent="0.3">
      <c r="AX408" s="240"/>
      <c r="AY408" s="144"/>
      <c r="AZ408" s="278"/>
      <c r="BA408" s="207"/>
      <c r="BK408" s="135"/>
      <c r="BL408" s="135"/>
    </row>
    <row r="409" spans="50:64" ht="18.75" hidden="1" x14ac:dyDescent="0.3">
      <c r="AX409" s="240"/>
      <c r="AY409" s="144"/>
      <c r="AZ409" s="278"/>
      <c r="BA409" s="207"/>
      <c r="BK409" s="135"/>
      <c r="BL409" s="135"/>
    </row>
    <row r="410" spans="50:64" ht="18.75" hidden="1" x14ac:dyDescent="0.3">
      <c r="AX410" s="240"/>
      <c r="AY410" s="144"/>
      <c r="AZ410" s="278"/>
      <c r="BA410" s="207"/>
      <c r="BK410" s="135"/>
      <c r="BL410" s="135"/>
    </row>
    <row r="411" spans="50:64" ht="18.75" hidden="1" x14ac:dyDescent="0.3">
      <c r="AX411" s="240"/>
      <c r="AY411" s="144"/>
      <c r="AZ411" s="278"/>
      <c r="BA411" s="207"/>
      <c r="BK411" s="135"/>
      <c r="BL411" s="135"/>
    </row>
    <row r="412" spans="50:64" ht="18.75" hidden="1" x14ac:dyDescent="0.3">
      <c r="AX412" s="240"/>
      <c r="AY412" s="144"/>
      <c r="AZ412" s="278"/>
      <c r="BA412" s="207"/>
      <c r="BK412" s="135"/>
      <c r="BL412" s="135"/>
    </row>
    <row r="413" spans="50:64" ht="18.75" hidden="1" x14ac:dyDescent="0.3">
      <c r="AX413" s="240"/>
      <c r="AY413" s="144"/>
      <c r="AZ413" s="278"/>
      <c r="BA413" s="207"/>
      <c r="BK413" s="135"/>
      <c r="BL413" s="135"/>
    </row>
    <row r="414" spans="50:64" ht="18.75" hidden="1" x14ac:dyDescent="0.3">
      <c r="AX414" s="240"/>
      <c r="AY414" s="144"/>
      <c r="AZ414" s="278"/>
      <c r="BA414" s="207"/>
      <c r="BK414" s="135"/>
      <c r="BL414" s="135"/>
    </row>
    <row r="415" spans="50:64" ht="18.75" hidden="1" x14ac:dyDescent="0.3">
      <c r="AX415" s="240"/>
      <c r="AY415" s="144"/>
      <c r="AZ415" s="278"/>
      <c r="BA415" s="207"/>
      <c r="BK415" s="135"/>
      <c r="BL415" s="135"/>
    </row>
    <row r="416" spans="50:64" ht="18.75" hidden="1" x14ac:dyDescent="0.3">
      <c r="AX416" s="240"/>
      <c r="AY416" s="144"/>
      <c r="AZ416" s="278"/>
      <c r="BA416" s="207"/>
      <c r="BK416" s="135"/>
      <c r="BL416" s="135"/>
    </row>
    <row r="417" spans="50:64" ht="18.75" hidden="1" x14ac:dyDescent="0.3">
      <c r="AX417" s="240"/>
      <c r="AY417" s="144"/>
      <c r="AZ417" s="278"/>
      <c r="BA417" s="207"/>
      <c r="BK417" s="135"/>
      <c r="BL417" s="135"/>
    </row>
    <row r="418" spans="50:64" ht="18.75" hidden="1" x14ac:dyDescent="0.3">
      <c r="AX418" s="240"/>
      <c r="AY418" s="144"/>
      <c r="AZ418" s="278"/>
      <c r="BA418" s="207"/>
      <c r="BK418" s="135"/>
      <c r="BL418" s="135"/>
    </row>
    <row r="419" spans="50:64" ht="18.75" hidden="1" x14ac:dyDescent="0.3">
      <c r="AX419" s="240"/>
      <c r="AY419" s="144"/>
      <c r="AZ419" s="278"/>
      <c r="BA419" s="207"/>
      <c r="BK419" s="135"/>
      <c r="BL419" s="135"/>
    </row>
    <row r="420" spans="50:64" ht="18.75" hidden="1" x14ac:dyDescent="0.3">
      <c r="AX420" s="240"/>
      <c r="AY420" s="144"/>
      <c r="AZ420" s="278"/>
      <c r="BA420" s="207"/>
      <c r="BK420" s="135"/>
      <c r="BL420" s="135"/>
    </row>
    <row r="421" spans="50:64" ht="18.75" hidden="1" x14ac:dyDescent="0.3">
      <c r="AX421" s="240"/>
      <c r="AY421" s="144"/>
      <c r="AZ421" s="278"/>
      <c r="BA421" s="207"/>
      <c r="BK421" s="135"/>
      <c r="BL421" s="135"/>
    </row>
    <row r="422" spans="50:64" ht="18.75" hidden="1" x14ac:dyDescent="0.3">
      <c r="AX422" s="240"/>
      <c r="AY422" s="144"/>
      <c r="AZ422" s="278"/>
      <c r="BA422" s="207"/>
      <c r="BK422" s="135"/>
      <c r="BL422" s="135"/>
    </row>
    <row r="423" spans="50:64" ht="18.75" hidden="1" x14ac:dyDescent="0.3">
      <c r="AX423" s="240"/>
      <c r="AY423" s="144"/>
      <c r="AZ423" s="278"/>
      <c r="BA423" s="207"/>
      <c r="BK423" s="135"/>
      <c r="BL423" s="135"/>
    </row>
    <row r="424" spans="50:64" ht="18.75" hidden="1" x14ac:dyDescent="0.3">
      <c r="AX424" s="240"/>
      <c r="AY424" s="144"/>
      <c r="AZ424" s="278"/>
      <c r="BA424" s="207"/>
      <c r="BK424" s="135"/>
      <c r="BL424" s="135"/>
    </row>
    <row r="425" spans="50:64" ht="18.75" hidden="1" x14ac:dyDescent="0.3">
      <c r="AX425" s="240"/>
      <c r="AY425" s="144"/>
      <c r="AZ425" s="278"/>
      <c r="BA425" s="207"/>
      <c r="BK425" s="135"/>
      <c r="BL425" s="135"/>
    </row>
    <row r="426" spans="50:64" ht="18.75" hidden="1" x14ac:dyDescent="0.3">
      <c r="AX426" s="240"/>
      <c r="AY426" s="144"/>
      <c r="AZ426" s="278"/>
      <c r="BA426" s="207"/>
      <c r="BK426" s="135"/>
      <c r="BL426" s="135"/>
    </row>
    <row r="427" spans="50:64" ht="18.75" hidden="1" x14ac:dyDescent="0.3">
      <c r="AX427" s="240"/>
      <c r="AY427" s="144"/>
      <c r="AZ427" s="278"/>
      <c r="BA427" s="207"/>
      <c r="BK427" s="135"/>
      <c r="BL427" s="135"/>
    </row>
    <row r="428" spans="50:64" ht="18.75" hidden="1" x14ac:dyDescent="0.3">
      <c r="AX428" s="240"/>
      <c r="AY428" s="144"/>
      <c r="AZ428" s="278"/>
      <c r="BA428" s="207"/>
      <c r="BK428" s="135"/>
      <c r="BL428" s="135"/>
    </row>
    <row r="429" spans="50:64" ht="18.75" hidden="1" x14ac:dyDescent="0.3">
      <c r="AX429" s="240"/>
      <c r="AY429" s="144"/>
      <c r="AZ429" s="278"/>
      <c r="BA429" s="207"/>
      <c r="BK429" s="135"/>
      <c r="BL429" s="135"/>
    </row>
    <row r="430" spans="50:64" ht="18.75" hidden="1" x14ac:dyDescent="0.3">
      <c r="AX430" s="240"/>
      <c r="AY430" s="144"/>
      <c r="AZ430" s="278"/>
      <c r="BA430" s="207"/>
      <c r="BK430" s="135"/>
      <c r="BL430" s="135"/>
    </row>
    <row r="431" spans="50:64" ht="18.75" hidden="1" x14ac:dyDescent="0.3">
      <c r="AX431" s="240"/>
      <c r="AY431" s="144"/>
      <c r="AZ431" s="278"/>
      <c r="BA431" s="207"/>
      <c r="BK431" s="135"/>
      <c r="BL431" s="135"/>
    </row>
    <row r="432" spans="50:64" ht="18.75" hidden="1" x14ac:dyDescent="0.3">
      <c r="AX432" s="240"/>
      <c r="AY432" s="144"/>
      <c r="AZ432" s="278"/>
      <c r="BA432" s="207"/>
      <c r="BK432" s="135"/>
      <c r="BL432" s="135"/>
    </row>
    <row r="433" spans="50:64" ht="18.75" hidden="1" x14ac:dyDescent="0.3">
      <c r="AX433" s="240"/>
      <c r="AY433" s="144"/>
      <c r="AZ433" s="278"/>
      <c r="BA433" s="207"/>
      <c r="BK433" s="135"/>
      <c r="BL433" s="135"/>
    </row>
    <row r="434" spans="50:64" ht="18.75" hidden="1" x14ac:dyDescent="0.3">
      <c r="AX434" s="240"/>
      <c r="AY434" s="144"/>
      <c r="AZ434" s="278"/>
      <c r="BA434" s="207"/>
      <c r="BK434" s="135"/>
      <c r="BL434" s="135"/>
    </row>
    <row r="435" spans="50:64" ht="18.75" hidden="1" x14ac:dyDescent="0.3">
      <c r="AX435" s="240"/>
      <c r="AY435" s="144"/>
      <c r="AZ435" s="278"/>
      <c r="BA435" s="207"/>
      <c r="BK435" s="135"/>
      <c r="BL435" s="135"/>
    </row>
    <row r="436" spans="50:64" ht="18.75" hidden="1" x14ac:dyDescent="0.3">
      <c r="AX436" s="240"/>
      <c r="AY436" s="144"/>
      <c r="AZ436" s="278"/>
      <c r="BA436" s="207"/>
      <c r="BK436" s="135"/>
      <c r="BL436" s="135"/>
    </row>
    <row r="437" spans="50:64" ht="18.75" hidden="1" x14ac:dyDescent="0.3">
      <c r="AX437" s="240"/>
      <c r="AY437" s="144"/>
      <c r="AZ437" s="278"/>
      <c r="BA437" s="207"/>
      <c r="BK437" s="135"/>
      <c r="BL437" s="135"/>
    </row>
    <row r="438" spans="50:64" ht="18.75" hidden="1" x14ac:dyDescent="0.3">
      <c r="AX438" s="240"/>
      <c r="AY438" s="144"/>
      <c r="AZ438" s="278"/>
      <c r="BA438" s="207"/>
      <c r="BK438" s="135"/>
      <c r="BL438" s="135"/>
    </row>
    <row r="439" spans="50:64" ht="18.75" hidden="1" x14ac:dyDescent="0.3">
      <c r="AX439" s="240"/>
      <c r="AY439" s="144"/>
      <c r="AZ439" s="278"/>
      <c r="BA439" s="207"/>
      <c r="BK439" s="135"/>
      <c r="BL439" s="135"/>
    </row>
    <row r="440" spans="50:64" ht="18.75" hidden="1" x14ac:dyDescent="0.3">
      <c r="AX440" s="240"/>
      <c r="AY440" s="144"/>
      <c r="AZ440" s="278"/>
      <c r="BA440" s="207"/>
      <c r="BK440" s="135"/>
      <c r="BL440" s="135"/>
    </row>
    <row r="441" spans="50:64" ht="18.75" hidden="1" x14ac:dyDescent="0.3">
      <c r="AX441" s="240"/>
      <c r="AY441" s="144"/>
      <c r="AZ441" s="278"/>
      <c r="BA441" s="207"/>
      <c r="BK441" s="135"/>
      <c r="BL441" s="135"/>
    </row>
    <row r="442" spans="50:64" ht="18.75" hidden="1" x14ac:dyDescent="0.3">
      <c r="AX442" s="240"/>
      <c r="AY442" s="144"/>
      <c r="AZ442" s="278"/>
      <c r="BA442" s="207"/>
      <c r="BK442" s="135"/>
      <c r="BL442" s="135"/>
    </row>
    <row r="443" spans="50:64" ht="18.75" hidden="1" x14ac:dyDescent="0.3">
      <c r="AX443" s="240"/>
      <c r="AY443" s="144"/>
      <c r="AZ443" s="278"/>
      <c r="BA443" s="207"/>
      <c r="BK443" s="135"/>
      <c r="BL443" s="135"/>
    </row>
    <row r="444" spans="50:64" ht="18.75" hidden="1" x14ac:dyDescent="0.3">
      <c r="AX444" s="240"/>
      <c r="AY444" s="144"/>
      <c r="AZ444" s="278"/>
      <c r="BA444" s="207"/>
      <c r="BK444" s="135"/>
      <c r="BL444" s="135"/>
    </row>
    <row r="445" spans="50:64" ht="18.75" hidden="1" x14ac:dyDescent="0.3">
      <c r="AX445" s="240"/>
      <c r="AY445" s="144"/>
      <c r="AZ445" s="278"/>
      <c r="BA445" s="207"/>
      <c r="BK445" s="135"/>
      <c r="BL445" s="135"/>
    </row>
    <row r="446" spans="50:64" ht="18.75" hidden="1" x14ac:dyDescent="0.3">
      <c r="AX446" s="240"/>
      <c r="AY446" s="144"/>
      <c r="AZ446" s="278"/>
      <c r="BA446" s="207"/>
      <c r="BK446" s="135"/>
      <c r="BL446" s="135"/>
    </row>
    <row r="447" spans="50:64" ht="18.75" hidden="1" x14ac:dyDescent="0.3">
      <c r="AX447" s="240"/>
      <c r="AY447" s="144"/>
      <c r="AZ447" s="278"/>
      <c r="BA447" s="207"/>
      <c r="BK447" s="135"/>
      <c r="BL447" s="135"/>
    </row>
    <row r="448" spans="50:64" ht="18.75" hidden="1" x14ac:dyDescent="0.3">
      <c r="AX448" s="240"/>
      <c r="AY448" s="144"/>
      <c r="AZ448" s="278"/>
      <c r="BA448" s="207"/>
      <c r="BK448" s="135"/>
      <c r="BL448" s="135"/>
    </row>
    <row r="449" spans="50:64" ht="18.75" hidden="1" x14ac:dyDescent="0.3">
      <c r="AX449" s="240"/>
      <c r="AY449" s="144"/>
      <c r="AZ449" s="278"/>
      <c r="BA449" s="207"/>
      <c r="BK449" s="135"/>
      <c r="BL449" s="135"/>
    </row>
    <row r="450" spans="50:64" ht="18.75" hidden="1" x14ac:dyDescent="0.3">
      <c r="AX450" s="240"/>
      <c r="AY450" s="144"/>
      <c r="AZ450" s="278"/>
      <c r="BA450" s="207"/>
      <c r="BK450" s="135"/>
      <c r="BL450" s="135"/>
    </row>
    <row r="451" spans="50:64" ht="18.75" hidden="1" x14ac:dyDescent="0.3">
      <c r="AX451" s="240"/>
      <c r="AY451" s="144"/>
      <c r="AZ451" s="278"/>
      <c r="BA451" s="207"/>
      <c r="BK451" s="135"/>
      <c r="BL451" s="135"/>
    </row>
    <row r="452" spans="50:64" ht="18.75" hidden="1" x14ac:dyDescent="0.3">
      <c r="AX452" s="240"/>
      <c r="AY452" s="144"/>
      <c r="AZ452" s="278"/>
      <c r="BA452" s="207"/>
      <c r="BK452" s="135"/>
      <c r="BL452" s="135"/>
    </row>
    <row r="453" spans="50:64" ht="18.75" hidden="1" x14ac:dyDescent="0.3">
      <c r="AX453" s="240"/>
      <c r="AY453" s="144"/>
      <c r="AZ453" s="278"/>
      <c r="BA453" s="207"/>
      <c r="BK453" s="135"/>
      <c r="BL453" s="135"/>
    </row>
    <row r="454" spans="50:64" ht="18.75" hidden="1" x14ac:dyDescent="0.3">
      <c r="AX454" s="240"/>
      <c r="AY454" s="144"/>
      <c r="AZ454" s="278"/>
      <c r="BA454" s="207"/>
      <c r="BK454" s="135"/>
      <c r="BL454" s="135"/>
    </row>
    <row r="455" spans="50:64" ht="18.75" hidden="1" x14ac:dyDescent="0.3">
      <c r="AX455" s="240"/>
      <c r="AY455" s="144"/>
      <c r="AZ455" s="278"/>
      <c r="BA455" s="207"/>
      <c r="BK455" s="135"/>
      <c r="BL455" s="135"/>
    </row>
    <row r="456" spans="50:64" ht="18.75" hidden="1" x14ac:dyDescent="0.3">
      <c r="AX456" s="240"/>
      <c r="AY456" s="144"/>
      <c r="AZ456" s="278"/>
      <c r="BA456" s="207"/>
      <c r="BK456" s="135"/>
      <c r="BL456" s="135"/>
    </row>
    <row r="457" spans="50:64" ht="18.75" hidden="1" x14ac:dyDescent="0.3">
      <c r="AX457" s="240"/>
      <c r="AY457" s="144"/>
      <c r="AZ457" s="278"/>
      <c r="BA457" s="207"/>
      <c r="BK457" s="135"/>
      <c r="BL457" s="135"/>
    </row>
    <row r="458" spans="50:64" ht="18.75" hidden="1" x14ac:dyDescent="0.3">
      <c r="AX458" s="240"/>
      <c r="AY458" s="144"/>
      <c r="AZ458" s="278"/>
      <c r="BA458" s="207"/>
      <c r="BK458" s="135"/>
      <c r="BL458" s="135"/>
    </row>
    <row r="459" spans="50:64" ht="18.75" hidden="1" x14ac:dyDescent="0.3">
      <c r="AX459" s="240"/>
      <c r="AY459" s="144"/>
      <c r="AZ459" s="278"/>
      <c r="BA459" s="207"/>
      <c r="BK459" s="135"/>
      <c r="BL459" s="135"/>
    </row>
    <row r="460" spans="50:64" ht="18.75" hidden="1" x14ac:dyDescent="0.3">
      <c r="AX460" s="240"/>
      <c r="AY460" s="144"/>
      <c r="AZ460" s="278"/>
      <c r="BA460" s="207"/>
      <c r="BK460" s="135"/>
      <c r="BL460" s="135"/>
    </row>
    <row r="461" spans="50:64" ht="18.75" hidden="1" x14ac:dyDescent="0.3">
      <c r="AX461" s="240"/>
      <c r="AY461" s="144"/>
      <c r="AZ461" s="278"/>
      <c r="BA461" s="207"/>
      <c r="BK461" s="135"/>
      <c r="BL461" s="135"/>
    </row>
    <row r="462" spans="50:64" ht="18.75" hidden="1" x14ac:dyDescent="0.3">
      <c r="AX462" s="240"/>
      <c r="AY462" s="144"/>
      <c r="AZ462" s="278"/>
      <c r="BA462" s="207"/>
      <c r="BK462" s="135"/>
      <c r="BL462" s="135"/>
    </row>
    <row r="463" spans="50:64" ht="18.75" hidden="1" x14ac:dyDescent="0.3">
      <c r="AX463" s="240"/>
      <c r="AY463" s="144"/>
      <c r="AZ463" s="278"/>
      <c r="BA463" s="207"/>
      <c r="BK463" s="135"/>
      <c r="BL463" s="135"/>
    </row>
    <row r="464" spans="50:64" ht="18.75" hidden="1" x14ac:dyDescent="0.3">
      <c r="AX464" s="240"/>
      <c r="AY464" s="144"/>
      <c r="AZ464" s="278"/>
      <c r="BA464" s="207"/>
      <c r="BK464" s="135"/>
      <c r="BL464" s="135"/>
    </row>
    <row r="465" spans="50:64" ht="18.75" hidden="1" x14ac:dyDescent="0.3">
      <c r="AX465" s="240"/>
      <c r="AY465" s="144"/>
      <c r="AZ465" s="278"/>
      <c r="BA465" s="207"/>
      <c r="BK465" s="135"/>
      <c r="BL465" s="135"/>
    </row>
    <row r="466" spans="50:64" ht="18.75" hidden="1" x14ac:dyDescent="0.3">
      <c r="AX466" s="240"/>
      <c r="AY466" s="144"/>
      <c r="AZ466" s="278"/>
      <c r="BA466" s="207"/>
      <c r="BK466" s="135"/>
      <c r="BL466" s="135"/>
    </row>
    <row r="467" spans="50:64" ht="18.75" hidden="1" x14ac:dyDescent="0.3">
      <c r="AX467" s="240"/>
      <c r="AY467" s="144"/>
      <c r="AZ467" s="278"/>
      <c r="BA467" s="207"/>
      <c r="BK467" s="135"/>
      <c r="BL467" s="135"/>
    </row>
    <row r="468" spans="50:64" ht="18.75" hidden="1" x14ac:dyDescent="0.3">
      <c r="AX468" s="240"/>
      <c r="AY468" s="144"/>
      <c r="AZ468" s="278"/>
      <c r="BA468" s="207"/>
      <c r="BK468" s="135"/>
      <c r="BL468" s="135"/>
    </row>
    <row r="469" spans="50:64" ht="18.75" hidden="1" x14ac:dyDescent="0.3">
      <c r="AX469" s="240"/>
      <c r="AY469" s="144"/>
      <c r="AZ469" s="278"/>
      <c r="BA469" s="207"/>
      <c r="BK469" s="135"/>
      <c r="BL469" s="135"/>
    </row>
    <row r="470" spans="50:64" ht="18.75" hidden="1" x14ac:dyDescent="0.3">
      <c r="AX470" s="240"/>
      <c r="AY470" s="144"/>
      <c r="AZ470" s="278"/>
      <c r="BA470" s="207"/>
      <c r="BK470" s="135"/>
      <c r="BL470" s="135"/>
    </row>
    <row r="471" spans="50:64" ht="18.75" hidden="1" x14ac:dyDescent="0.3">
      <c r="AX471" s="240"/>
      <c r="AY471" s="144"/>
      <c r="AZ471" s="278"/>
      <c r="BA471" s="207"/>
      <c r="BK471" s="135"/>
      <c r="BL471" s="135"/>
    </row>
    <row r="472" spans="50:64" ht="18.75" hidden="1" x14ac:dyDescent="0.3">
      <c r="AX472" s="240"/>
      <c r="AY472" s="144"/>
      <c r="AZ472" s="278"/>
      <c r="BA472" s="207"/>
      <c r="BK472" s="135"/>
      <c r="BL472" s="135"/>
    </row>
    <row r="473" spans="50:64" ht="18.75" hidden="1" x14ac:dyDescent="0.3">
      <c r="AX473" s="240"/>
      <c r="AY473" s="144"/>
      <c r="AZ473" s="278"/>
      <c r="BA473" s="207"/>
      <c r="BK473" s="135"/>
      <c r="BL473" s="135"/>
    </row>
    <row r="474" spans="50:64" ht="18.75" hidden="1" x14ac:dyDescent="0.3">
      <c r="AX474" s="240"/>
      <c r="AY474" s="144"/>
      <c r="AZ474" s="278"/>
      <c r="BA474" s="207"/>
      <c r="BK474" s="135"/>
      <c r="BL474" s="135"/>
    </row>
    <row r="475" spans="50:64" ht="18.75" hidden="1" x14ac:dyDescent="0.3">
      <c r="AX475" s="240"/>
      <c r="AY475" s="144"/>
      <c r="AZ475" s="278"/>
      <c r="BA475" s="207"/>
      <c r="BK475" s="135"/>
      <c r="BL475" s="135"/>
    </row>
    <row r="476" spans="50:64" ht="18.75" hidden="1" x14ac:dyDescent="0.3">
      <c r="AX476" s="240"/>
      <c r="AY476" s="144"/>
      <c r="AZ476" s="278"/>
      <c r="BA476" s="207"/>
      <c r="BK476" s="135"/>
      <c r="BL476" s="135"/>
    </row>
    <row r="477" spans="50:64" ht="18.75" hidden="1" x14ac:dyDescent="0.3">
      <c r="AX477" s="240"/>
      <c r="AY477" s="144"/>
      <c r="AZ477" s="278"/>
      <c r="BA477" s="207"/>
      <c r="BK477" s="135"/>
      <c r="BL477" s="135"/>
    </row>
    <row r="478" spans="50:64" ht="18.75" hidden="1" x14ac:dyDescent="0.3">
      <c r="AX478" s="240"/>
      <c r="AY478" s="144"/>
      <c r="AZ478" s="278"/>
      <c r="BA478" s="207"/>
      <c r="BK478" s="135"/>
      <c r="BL478" s="135"/>
    </row>
    <row r="479" spans="50:64" ht="18.75" hidden="1" x14ac:dyDescent="0.3">
      <c r="AX479" s="240"/>
      <c r="AY479" s="144"/>
      <c r="AZ479" s="278"/>
      <c r="BA479" s="207"/>
      <c r="BK479" s="135"/>
      <c r="BL479" s="135"/>
    </row>
    <row r="480" spans="50:64" ht="18.75" hidden="1" x14ac:dyDescent="0.3">
      <c r="AX480" s="240"/>
      <c r="AY480" s="144"/>
      <c r="AZ480" s="278"/>
      <c r="BA480" s="207"/>
      <c r="BK480" s="135"/>
      <c r="BL480" s="135"/>
    </row>
    <row r="481" spans="50:64" ht="18.75" hidden="1" x14ac:dyDescent="0.3">
      <c r="AX481" s="240"/>
      <c r="AY481" s="144"/>
      <c r="AZ481" s="278"/>
      <c r="BA481" s="207"/>
      <c r="BK481" s="135"/>
      <c r="BL481" s="135"/>
    </row>
    <row r="482" spans="50:64" ht="18.75" hidden="1" x14ac:dyDescent="0.3">
      <c r="AX482" s="240"/>
      <c r="AY482" s="144"/>
      <c r="AZ482" s="278"/>
      <c r="BA482" s="207"/>
      <c r="BK482" s="135"/>
      <c r="BL482" s="135"/>
    </row>
    <row r="483" spans="50:64" ht="18.75" hidden="1" x14ac:dyDescent="0.3">
      <c r="AX483" s="240"/>
      <c r="AY483" s="144"/>
      <c r="AZ483" s="278"/>
      <c r="BA483" s="207"/>
      <c r="BK483" s="135"/>
      <c r="BL483" s="135"/>
    </row>
    <row r="484" spans="50:64" ht="18.75" hidden="1" x14ac:dyDescent="0.3">
      <c r="AX484" s="240"/>
      <c r="AY484" s="144"/>
      <c r="AZ484" s="278"/>
      <c r="BA484" s="207"/>
      <c r="BK484" s="135"/>
      <c r="BL484" s="135"/>
    </row>
    <row r="485" spans="50:64" ht="18.75" hidden="1" x14ac:dyDescent="0.3">
      <c r="AX485" s="240"/>
      <c r="AY485" s="144"/>
      <c r="AZ485" s="278"/>
      <c r="BA485" s="207"/>
      <c r="BK485" s="135"/>
      <c r="BL485" s="135"/>
    </row>
    <row r="486" spans="50:64" ht="18.75" hidden="1" x14ac:dyDescent="0.3">
      <c r="AX486" s="240"/>
      <c r="AY486" s="144"/>
      <c r="AZ486" s="278"/>
      <c r="BA486" s="207"/>
      <c r="BK486" s="135"/>
      <c r="BL486" s="135"/>
    </row>
    <row r="487" spans="50:64" ht="18.75" hidden="1" x14ac:dyDescent="0.3">
      <c r="AX487" s="240"/>
      <c r="AY487" s="144"/>
      <c r="AZ487" s="278"/>
      <c r="BA487" s="207"/>
      <c r="BK487" s="135"/>
      <c r="BL487" s="135"/>
    </row>
    <row r="488" spans="50:64" ht="18.75" hidden="1" x14ac:dyDescent="0.3">
      <c r="AX488" s="240"/>
      <c r="AY488" s="144"/>
      <c r="AZ488" s="278"/>
      <c r="BA488" s="207"/>
      <c r="BK488" s="135"/>
      <c r="BL488" s="135"/>
    </row>
    <row r="489" spans="50:64" ht="18.75" hidden="1" x14ac:dyDescent="0.3">
      <c r="AX489" s="240"/>
      <c r="AY489" s="144"/>
      <c r="AZ489" s="278"/>
      <c r="BA489" s="207"/>
      <c r="BK489" s="135"/>
      <c r="BL489" s="135"/>
    </row>
    <row r="490" spans="50:64" ht="18.75" hidden="1" x14ac:dyDescent="0.3">
      <c r="AX490" s="240"/>
      <c r="AY490" s="144"/>
      <c r="AZ490" s="278"/>
      <c r="BA490" s="207"/>
      <c r="BK490" s="135"/>
      <c r="BL490" s="135"/>
    </row>
    <row r="491" spans="50:64" ht="18.75" hidden="1" x14ac:dyDescent="0.3">
      <c r="AX491" s="240"/>
      <c r="AY491" s="144"/>
      <c r="AZ491" s="278"/>
      <c r="BA491" s="207"/>
      <c r="BK491" s="135"/>
      <c r="BL491" s="135"/>
    </row>
    <row r="492" spans="50:64" ht="18.75" hidden="1" x14ac:dyDescent="0.3">
      <c r="AX492" s="240"/>
      <c r="AY492" s="144"/>
      <c r="AZ492" s="278"/>
      <c r="BA492" s="207"/>
      <c r="BK492" s="135"/>
      <c r="BL492" s="135"/>
    </row>
    <row r="493" spans="50:64" ht="18.75" hidden="1" x14ac:dyDescent="0.3">
      <c r="AX493" s="240"/>
      <c r="AY493" s="144"/>
      <c r="AZ493" s="278"/>
      <c r="BA493" s="207"/>
      <c r="BK493" s="135"/>
      <c r="BL493" s="135"/>
    </row>
    <row r="494" spans="50:64" ht="18.75" hidden="1" x14ac:dyDescent="0.3">
      <c r="AX494" s="240"/>
      <c r="AY494" s="144"/>
      <c r="AZ494" s="278"/>
      <c r="BA494" s="207"/>
      <c r="BK494" s="135"/>
      <c r="BL494" s="135"/>
    </row>
    <row r="495" spans="50:64" ht="18.75" hidden="1" x14ac:dyDescent="0.3">
      <c r="AX495" s="240"/>
      <c r="AY495" s="144"/>
      <c r="AZ495" s="278"/>
      <c r="BA495" s="207"/>
      <c r="BK495" s="135"/>
      <c r="BL495" s="135"/>
    </row>
    <row r="496" spans="50:64" ht="18.75" hidden="1" x14ac:dyDescent="0.3">
      <c r="AX496" s="240"/>
      <c r="AY496" s="144"/>
      <c r="AZ496" s="278"/>
      <c r="BA496" s="207"/>
      <c r="BK496" s="135"/>
      <c r="BL496" s="135"/>
    </row>
    <row r="497" spans="50:64" ht="18.75" hidden="1" x14ac:dyDescent="0.3">
      <c r="AX497" s="240"/>
      <c r="AY497" s="144"/>
      <c r="AZ497" s="278"/>
      <c r="BA497" s="207"/>
      <c r="BK497" s="135"/>
      <c r="BL497" s="135"/>
    </row>
    <row r="498" spans="50:64" ht="18.75" hidden="1" x14ac:dyDescent="0.3">
      <c r="AX498" s="240"/>
      <c r="AY498" s="144"/>
      <c r="AZ498" s="278"/>
      <c r="BA498" s="207"/>
      <c r="BK498" s="135"/>
      <c r="BL498" s="135"/>
    </row>
    <row r="499" spans="50:64" ht="18.75" hidden="1" x14ac:dyDescent="0.3">
      <c r="AX499" s="240"/>
      <c r="AY499" s="144"/>
      <c r="AZ499" s="278"/>
      <c r="BA499" s="207"/>
      <c r="BK499" s="135"/>
      <c r="BL499" s="135"/>
    </row>
    <row r="500" spans="50:64" ht="18.75" hidden="1" x14ac:dyDescent="0.3">
      <c r="AX500" s="240"/>
      <c r="AY500" s="144"/>
      <c r="AZ500" s="278"/>
      <c r="BA500" s="207"/>
      <c r="BK500" s="135"/>
      <c r="BL500" s="135"/>
    </row>
    <row r="501" spans="50:64" ht="18.75" hidden="1" x14ac:dyDescent="0.3">
      <c r="AX501" s="240"/>
      <c r="AY501" s="144"/>
      <c r="AZ501" s="278"/>
      <c r="BA501" s="207"/>
      <c r="BK501" s="135"/>
      <c r="BL501" s="135"/>
    </row>
    <row r="502" spans="50:64" ht="18.75" hidden="1" x14ac:dyDescent="0.3">
      <c r="AX502" s="240"/>
      <c r="AY502" s="144"/>
      <c r="AZ502" s="278"/>
      <c r="BA502" s="207"/>
      <c r="BK502" s="135"/>
      <c r="BL502" s="135"/>
    </row>
    <row r="503" spans="50:64" ht="18.75" hidden="1" x14ac:dyDescent="0.3">
      <c r="AX503" s="240"/>
      <c r="AY503" s="144"/>
      <c r="AZ503" s="278"/>
      <c r="BA503" s="207"/>
      <c r="BK503" s="135"/>
      <c r="BL503" s="135"/>
    </row>
    <row r="504" spans="50:64" ht="18.75" hidden="1" x14ac:dyDescent="0.3">
      <c r="AX504" s="240"/>
      <c r="AY504" s="144"/>
      <c r="AZ504" s="278"/>
      <c r="BA504" s="207"/>
      <c r="BK504" s="135"/>
      <c r="BL504" s="135"/>
    </row>
    <row r="505" spans="50:64" ht="18.75" hidden="1" x14ac:dyDescent="0.3">
      <c r="AX505" s="240"/>
      <c r="AY505" s="144"/>
      <c r="AZ505" s="278"/>
      <c r="BA505" s="207"/>
      <c r="BK505" s="135"/>
      <c r="BL505" s="135"/>
    </row>
    <row r="506" spans="50:64" ht="18.75" hidden="1" x14ac:dyDescent="0.3">
      <c r="AX506" s="240"/>
      <c r="AY506" s="144"/>
      <c r="AZ506" s="278"/>
      <c r="BA506" s="207"/>
      <c r="BK506" s="135"/>
      <c r="BL506" s="135"/>
    </row>
    <row r="507" spans="50:64" ht="18.75" hidden="1" x14ac:dyDescent="0.3">
      <c r="AX507" s="240"/>
      <c r="AY507" s="144"/>
      <c r="AZ507" s="278"/>
      <c r="BA507" s="207"/>
      <c r="BK507" s="135"/>
      <c r="BL507" s="135"/>
    </row>
    <row r="508" spans="50:64" ht="18.75" hidden="1" x14ac:dyDescent="0.3">
      <c r="AX508" s="240"/>
      <c r="AY508" s="144"/>
      <c r="AZ508" s="278"/>
      <c r="BA508" s="207"/>
      <c r="BK508" s="135"/>
      <c r="BL508" s="135"/>
    </row>
    <row r="509" spans="50:64" ht="18.75" hidden="1" x14ac:dyDescent="0.3">
      <c r="AX509" s="240"/>
      <c r="AY509" s="144"/>
      <c r="AZ509" s="278"/>
      <c r="BA509" s="207"/>
      <c r="BK509" s="135"/>
      <c r="BL509" s="135"/>
    </row>
    <row r="510" spans="50:64" ht="18.75" hidden="1" x14ac:dyDescent="0.3">
      <c r="AX510" s="240"/>
      <c r="AY510" s="144"/>
      <c r="AZ510" s="278"/>
      <c r="BA510" s="207"/>
      <c r="BK510" s="135"/>
      <c r="BL510" s="135"/>
    </row>
    <row r="511" spans="50:64" ht="18.75" hidden="1" x14ac:dyDescent="0.3">
      <c r="AX511" s="240"/>
      <c r="AY511" s="144"/>
      <c r="AZ511" s="278"/>
      <c r="BA511" s="207"/>
      <c r="BK511" s="135"/>
      <c r="BL511" s="135"/>
    </row>
    <row r="512" spans="50:64" ht="18.75" hidden="1" x14ac:dyDescent="0.3">
      <c r="AX512" s="240"/>
      <c r="AY512" s="144"/>
      <c r="AZ512" s="278"/>
      <c r="BA512" s="207"/>
      <c r="BK512" s="135"/>
      <c r="BL512" s="135"/>
    </row>
    <row r="513" spans="50:64" ht="18.75" hidden="1" x14ac:dyDescent="0.3">
      <c r="AX513" s="240"/>
      <c r="AY513" s="144"/>
      <c r="AZ513" s="278"/>
      <c r="BA513" s="207"/>
      <c r="BK513" s="135"/>
      <c r="BL513" s="135"/>
    </row>
    <row r="514" spans="50:64" ht="18.75" hidden="1" x14ac:dyDescent="0.3">
      <c r="AX514" s="240"/>
      <c r="AY514" s="144"/>
      <c r="AZ514" s="278"/>
      <c r="BA514" s="207"/>
      <c r="BK514" s="135"/>
      <c r="BL514" s="135"/>
    </row>
    <row r="515" spans="50:64" ht="18.75" hidden="1" x14ac:dyDescent="0.3">
      <c r="AX515" s="240"/>
      <c r="AY515" s="144"/>
      <c r="AZ515" s="278"/>
      <c r="BA515" s="207"/>
      <c r="BK515" s="135"/>
      <c r="BL515" s="135"/>
    </row>
    <row r="516" spans="50:64" ht="18.75" hidden="1" x14ac:dyDescent="0.3">
      <c r="AX516" s="240"/>
      <c r="AY516" s="144"/>
      <c r="AZ516" s="278"/>
      <c r="BA516" s="207"/>
      <c r="BK516" s="135"/>
      <c r="BL516" s="135"/>
    </row>
    <row r="517" spans="50:64" ht="18.75" hidden="1" x14ac:dyDescent="0.3">
      <c r="AX517" s="240"/>
      <c r="AY517" s="144"/>
      <c r="AZ517" s="278"/>
      <c r="BA517" s="207"/>
      <c r="BK517" s="135"/>
      <c r="BL517" s="135"/>
    </row>
    <row r="518" spans="50:64" ht="18.75" hidden="1" x14ac:dyDescent="0.3">
      <c r="AX518" s="240"/>
      <c r="AY518" s="144"/>
      <c r="AZ518" s="278"/>
      <c r="BA518" s="207"/>
      <c r="BK518" s="135"/>
      <c r="BL518" s="135"/>
    </row>
    <row r="519" spans="50:64" ht="18.75" hidden="1" x14ac:dyDescent="0.3">
      <c r="AX519" s="240"/>
      <c r="AY519" s="144"/>
      <c r="AZ519" s="278"/>
      <c r="BA519" s="207"/>
      <c r="BK519" s="135"/>
      <c r="BL519" s="135"/>
    </row>
    <row r="520" spans="50:64" ht="18.75" hidden="1" x14ac:dyDescent="0.3">
      <c r="AX520" s="240"/>
      <c r="AY520" s="144"/>
      <c r="AZ520" s="278"/>
      <c r="BA520" s="207"/>
      <c r="BK520" s="135"/>
      <c r="BL520" s="135"/>
    </row>
    <row r="521" spans="50:64" ht="18.75" hidden="1" x14ac:dyDescent="0.3">
      <c r="AX521" s="240"/>
      <c r="AY521" s="144"/>
      <c r="AZ521" s="278"/>
      <c r="BA521" s="207"/>
      <c r="BK521" s="135"/>
      <c r="BL521" s="135"/>
    </row>
    <row r="522" spans="50:64" ht="18.75" hidden="1" x14ac:dyDescent="0.3">
      <c r="AX522" s="240"/>
      <c r="AY522" s="144"/>
      <c r="AZ522" s="278"/>
      <c r="BA522" s="207"/>
      <c r="BK522" s="135"/>
      <c r="BL522" s="135"/>
    </row>
    <row r="523" spans="50:64" ht="18.75" hidden="1" x14ac:dyDescent="0.3">
      <c r="AX523" s="240"/>
      <c r="AY523" s="144"/>
      <c r="AZ523" s="278"/>
      <c r="BA523" s="207"/>
      <c r="BK523" s="135"/>
      <c r="BL523" s="135"/>
    </row>
    <row r="524" spans="50:64" ht="18.75" hidden="1" x14ac:dyDescent="0.3">
      <c r="AX524" s="240"/>
      <c r="AY524" s="144"/>
      <c r="AZ524" s="278"/>
      <c r="BA524" s="207"/>
      <c r="BK524" s="135"/>
      <c r="BL524" s="135"/>
    </row>
    <row r="525" spans="50:64" ht="18.75" hidden="1" x14ac:dyDescent="0.3">
      <c r="AX525" s="240"/>
      <c r="AY525" s="144"/>
      <c r="AZ525" s="278"/>
      <c r="BA525" s="207"/>
      <c r="BK525" s="135"/>
      <c r="BL525" s="135"/>
    </row>
    <row r="526" spans="50:64" ht="18.75" hidden="1" x14ac:dyDescent="0.3">
      <c r="AX526" s="240"/>
      <c r="AY526" s="144"/>
      <c r="AZ526" s="278"/>
      <c r="BA526" s="207"/>
      <c r="BK526" s="135"/>
      <c r="BL526" s="135"/>
    </row>
    <row r="527" spans="50:64" ht="18.75" hidden="1" x14ac:dyDescent="0.3">
      <c r="AX527" s="240"/>
      <c r="AY527" s="144"/>
      <c r="AZ527" s="278"/>
      <c r="BA527" s="207"/>
      <c r="BK527" s="135"/>
      <c r="BL527" s="135"/>
    </row>
    <row r="528" spans="50:64" ht="18.75" hidden="1" x14ac:dyDescent="0.3">
      <c r="AX528" s="240"/>
      <c r="AY528" s="144"/>
      <c r="AZ528" s="278"/>
      <c r="BA528" s="207"/>
      <c r="BK528" s="135"/>
      <c r="BL528" s="135"/>
    </row>
    <row r="529" spans="50:64" ht="18.75" hidden="1" x14ac:dyDescent="0.3">
      <c r="AX529" s="240"/>
      <c r="AY529" s="144"/>
      <c r="AZ529" s="278"/>
      <c r="BA529" s="207"/>
      <c r="BK529" s="135"/>
      <c r="BL529" s="135"/>
    </row>
    <row r="530" spans="50:64" ht="18.75" hidden="1" x14ac:dyDescent="0.3">
      <c r="AX530" s="240"/>
      <c r="AY530" s="144"/>
      <c r="AZ530" s="278"/>
      <c r="BA530" s="207"/>
      <c r="BK530" s="135"/>
      <c r="BL530" s="135"/>
    </row>
    <row r="531" spans="50:64" ht="18.75" hidden="1" x14ac:dyDescent="0.3">
      <c r="AX531" s="240"/>
      <c r="AY531" s="144"/>
      <c r="AZ531" s="278"/>
      <c r="BA531" s="207"/>
      <c r="BK531" s="135"/>
      <c r="BL531" s="135"/>
    </row>
    <row r="532" spans="50:64" ht="18.75" hidden="1" x14ac:dyDescent="0.3">
      <c r="AX532" s="240"/>
      <c r="AY532" s="144"/>
      <c r="AZ532" s="278"/>
      <c r="BA532" s="207"/>
      <c r="BK532" s="135"/>
      <c r="BL532" s="135"/>
    </row>
    <row r="533" spans="50:64" ht="18.75" hidden="1" x14ac:dyDescent="0.3">
      <c r="AX533" s="240"/>
      <c r="AY533" s="144"/>
      <c r="AZ533" s="278"/>
      <c r="BA533" s="207"/>
      <c r="BK533" s="135"/>
      <c r="BL533" s="135"/>
    </row>
    <row r="534" spans="50:64" ht="18.75" hidden="1" x14ac:dyDescent="0.3">
      <c r="AX534" s="240"/>
      <c r="AY534" s="144"/>
      <c r="AZ534" s="278"/>
      <c r="BA534" s="207"/>
      <c r="BK534" s="135"/>
      <c r="BL534" s="135"/>
    </row>
    <row r="535" spans="50:64" ht="18.75" hidden="1" x14ac:dyDescent="0.3">
      <c r="AX535" s="240"/>
      <c r="AY535" s="144"/>
      <c r="AZ535" s="278"/>
      <c r="BA535" s="207"/>
      <c r="BK535" s="135"/>
      <c r="BL535" s="135"/>
    </row>
    <row r="536" spans="50:64" ht="18.75" hidden="1" x14ac:dyDescent="0.3">
      <c r="AX536" s="240"/>
      <c r="AY536" s="144"/>
      <c r="AZ536" s="278"/>
      <c r="BA536" s="207"/>
      <c r="BK536" s="135"/>
      <c r="BL536" s="135"/>
    </row>
    <row r="537" spans="50:64" ht="18.75" hidden="1" x14ac:dyDescent="0.3">
      <c r="AX537" s="240"/>
      <c r="AY537" s="144"/>
      <c r="AZ537" s="278"/>
      <c r="BA537" s="207"/>
      <c r="BK537" s="135"/>
      <c r="BL537" s="135"/>
    </row>
    <row r="538" spans="50:64" ht="18.75" hidden="1" x14ac:dyDescent="0.3">
      <c r="AX538" s="240"/>
      <c r="AY538" s="144"/>
      <c r="AZ538" s="278"/>
      <c r="BA538" s="207"/>
      <c r="BK538" s="135"/>
      <c r="BL538" s="135"/>
    </row>
    <row r="539" spans="50:64" ht="18.75" hidden="1" x14ac:dyDescent="0.3">
      <c r="AX539" s="240"/>
      <c r="AY539" s="144"/>
      <c r="AZ539" s="278"/>
      <c r="BA539" s="207"/>
      <c r="BK539" s="135"/>
      <c r="BL539" s="135"/>
    </row>
    <row r="540" spans="50:64" ht="18.75" hidden="1" x14ac:dyDescent="0.3">
      <c r="AX540" s="240"/>
      <c r="AY540" s="144"/>
      <c r="AZ540" s="278"/>
      <c r="BA540" s="207"/>
      <c r="BK540" s="135"/>
      <c r="BL540" s="135"/>
    </row>
    <row r="541" spans="50:64" ht="18.75" hidden="1" x14ac:dyDescent="0.3">
      <c r="AX541" s="240"/>
      <c r="AY541" s="144"/>
      <c r="AZ541" s="278"/>
      <c r="BA541" s="207"/>
      <c r="BK541" s="135"/>
      <c r="BL541" s="135"/>
    </row>
    <row r="542" spans="50:64" ht="18.75" hidden="1" x14ac:dyDescent="0.3">
      <c r="AX542" s="240"/>
      <c r="AY542" s="144"/>
      <c r="AZ542" s="278"/>
      <c r="BA542" s="207"/>
      <c r="BK542" s="135"/>
      <c r="BL542" s="135"/>
    </row>
    <row r="543" spans="50:64" ht="18.75" hidden="1" x14ac:dyDescent="0.3">
      <c r="AX543" s="240"/>
      <c r="AY543" s="144"/>
      <c r="AZ543" s="278"/>
      <c r="BA543" s="207"/>
      <c r="BK543" s="135"/>
      <c r="BL543" s="135"/>
    </row>
    <row r="544" spans="50:64" ht="18.75" hidden="1" x14ac:dyDescent="0.3">
      <c r="AX544" s="240"/>
      <c r="AY544" s="144"/>
      <c r="AZ544" s="278"/>
      <c r="BA544" s="207"/>
      <c r="BK544" s="135"/>
      <c r="BL544" s="135"/>
    </row>
    <row r="545" spans="50:64" ht="18.75" hidden="1" x14ac:dyDescent="0.3">
      <c r="AX545" s="240"/>
      <c r="AY545" s="144"/>
      <c r="AZ545" s="278"/>
      <c r="BA545" s="207"/>
      <c r="BK545" s="135"/>
      <c r="BL545" s="135"/>
    </row>
    <row r="546" spans="50:64" ht="18.75" hidden="1" x14ac:dyDescent="0.3">
      <c r="AX546" s="240"/>
      <c r="AY546" s="144"/>
      <c r="AZ546" s="278"/>
      <c r="BA546" s="207"/>
      <c r="BK546" s="135"/>
      <c r="BL546" s="135"/>
    </row>
    <row r="547" spans="50:64" ht="18.75" hidden="1" x14ac:dyDescent="0.3">
      <c r="AX547" s="240"/>
      <c r="AY547" s="144"/>
      <c r="AZ547" s="278"/>
      <c r="BA547" s="207"/>
      <c r="BK547" s="135"/>
      <c r="BL547" s="135"/>
    </row>
    <row r="548" spans="50:64" ht="18.75" hidden="1" x14ac:dyDescent="0.3">
      <c r="AX548" s="240"/>
      <c r="AY548" s="144"/>
      <c r="AZ548" s="278"/>
      <c r="BA548" s="207"/>
      <c r="BK548" s="135"/>
      <c r="BL548" s="135"/>
    </row>
    <row r="549" spans="50:64" ht="18.75" hidden="1" x14ac:dyDescent="0.3">
      <c r="AX549" s="240"/>
      <c r="AY549" s="144"/>
      <c r="AZ549" s="278"/>
      <c r="BA549" s="207"/>
      <c r="BK549" s="135"/>
      <c r="BL549" s="135"/>
    </row>
    <row r="550" spans="50:64" ht="18.75" hidden="1" x14ac:dyDescent="0.3">
      <c r="AX550" s="240"/>
      <c r="AY550" s="144"/>
      <c r="AZ550" s="278"/>
      <c r="BA550" s="207"/>
      <c r="BK550" s="135"/>
      <c r="BL550" s="135"/>
    </row>
    <row r="551" spans="50:64" ht="18.75" hidden="1" x14ac:dyDescent="0.3">
      <c r="AX551" s="240"/>
      <c r="AY551" s="144"/>
      <c r="AZ551" s="278"/>
      <c r="BA551" s="207"/>
      <c r="BK551" s="135"/>
      <c r="BL551" s="135"/>
    </row>
    <row r="552" spans="50:64" ht="18.75" hidden="1" x14ac:dyDescent="0.3">
      <c r="AX552" s="240"/>
      <c r="AY552" s="144"/>
      <c r="AZ552" s="278"/>
      <c r="BA552" s="207"/>
      <c r="BK552" s="135"/>
      <c r="BL552" s="135"/>
    </row>
    <row r="553" spans="50:64" ht="18.75" hidden="1" x14ac:dyDescent="0.3">
      <c r="AX553" s="240"/>
      <c r="AY553" s="144"/>
      <c r="AZ553" s="278"/>
      <c r="BA553" s="207"/>
      <c r="BK553" s="135"/>
      <c r="BL553" s="135"/>
    </row>
    <row r="554" spans="50:64" ht="18.75" hidden="1" x14ac:dyDescent="0.3">
      <c r="AX554" s="240"/>
      <c r="AY554" s="144"/>
      <c r="AZ554" s="278"/>
      <c r="BA554" s="207"/>
      <c r="BK554" s="135"/>
      <c r="BL554" s="135"/>
    </row>
    <row r="555" spans="50:64" ht="18.75" hidden="1" x14ac:dyDescent="0.3">
      <c r="AX555" s="240"/>
      <c r="AY555" s="144"/>
      <c r="AZ555" s="278"/>
      <c r="BA555" s="207"/>
      <c r="BK555" s="135"/>
      <c r="BL555" s="135"/>
    </row>
    <row r="556" spans="50:64" ht="18.75" hidden="1" x14ac:dyDescent="0.3">
      <c r="AX556" s="240"/>
      <c r="AY556" s="144"/>
      <c r="AZ556" s="278"/>
      <c r="BA556" s="207"/>
      <c r="BK556" s="135"/>
      <c r="BL556" s="135"/>
    </row>
    <row r="557" spans="50:64" ht="18.75" hidden="1" x14ac:dyDescent="0.3">
      <c r="AX557" s="240"/>
      <c r="AY557" s="144"/>
      <c r="AZ557" s="278"/>
      <c r="BA557" s="207"/>
      <c r="BK557" s="135"/>
      <c r="BL557" s="135"/>
    </row>
    <row r="558" spans="50:64" ht="18.75" hidden="1" x14ac:dyDescent="0.3">
      <c r="AX558" s="240"/>
      <c r="AY558" s="144"/>
      <c r="AZ558" s="278"/>
      <c r="BA558" s="207">
        <v>31.96</v>
      </c>
      <c r="BK558" s="135"/>
      <c r="BL558" s="135"/>
    </row>
    <row r="559" spans="50:64" ht="18.75" hidden="1" x14ac:dyDescent="0.3">
      <c r="AX559" s="240"/>
      <c r="AY559" s="144"/>
      <c r="AZ559" s="278"/>
      <c r="BA559" s="207">
        <v>34.369999999999997</v>
      </c>
      <c r="BK559" s="135"/>
      <c r="BL559" s="135"/>
    </row>
    <row r="560" spans="50:64" ht="18.75" hidden="1" x14ac:dyDescent="0.3">
      <c r="AX560" s="240"/>
      <c r="AY560" s="144"/>
      <c r="AZ560" s="278"/>
      <c r="BA560" s="207"/>
      <c r="BK560" s="135"/>
      <c r="BL560" s="135"/>
    </row>
    <row r="561" spans="50:64" ht="18.75" hidden="1" x14ac:dyDescent="0.3">
      <c r="AX561" s="240"/>
      <c r="AY561" s="144"/>
      <c r="AZ561" s="278"/>
      <c r="BA561" s="207">
        <v>28.7</v>
      </c>
      <c r="BK561" s="135"/>
      <c r="BL561" s="135"/>
    </row>
    <row r="562" spans="50:64" ht="18.75" hidden="1" x14ac:dyDescent="0.3">
      <c r="AX562" s="240"/>
      <c r="AY562" s="144"/>
      <c r="AZ562" s="278"/>
      <c r="BA562" s="207"/>
      <c r="BK562" s="135"/>
      <c r="BL562" s="135"/>
    </row>
    <row r="563" spans="50:64" ht="18.75" hidden="1" x14ac:dyDescent="0.3">
      <c r="AX563" s="240"/>
      <c r="AY563" s="144"/>
      <c r="AZ563" s="278"/>
      <c r="BA563" s="207"/>
      <c r="BB563" s="156"/>
      <c r="BK563" s="135"/>
      <c r="BL563" s="135"/>
    </row>
    <row r="564" spans="50:64" ht="18.75" hidden="1" x14ac:dyDescent="0.3">
      <c r="AX564" s="240"/>
      <c r="AY564" s="144"/>
      <c r="AZ564" s="278"/>
      <c r="BA564" s="207"/>
      <c r="BK564" s="135"/>
      <c r="BL564" s="135"/>
    </row>
    <row r="565" spans="50:64" ht="18.75" hidden="1" x14ac:dyDescent="0.3">
      <c r="AX565" s="240"/>
      <c r="AY565" s="144"/>
      <c r="AZ565" s="278"/>
      <c r="BA565" s="207"/>
      <c r="BK565" s="135"/>
      <c r="BL565" s="135"/>
    </row>
    <row r="566" spans="50:64" ht="18.75" hidden="1" x14ac:dyDescent="0.3">
      <c r="AX566" s="240"/>
      <c r="AY566" s="144"/>
      <c r="AZ566" s="278"/>
      <c r="BA566" s="207"/>
      <c r="BK566" s="135"/>
      <c r="BL566" s="135"/>
    </row>
    <row r="567" spans="50:64" ht="18.75" hidden="1" x14ac:dyDescent="0.3">
      <c r="AX567" s="240"/>
      <c r="AY567" s="144"/>
      <c r="AZ567" s="278"/>
      <c r="BA567" s="207"/>
      <c r="BK567" s="135"/>
      <c r="BL567" s="135"/>
    </row>
    <row r="568" spans="50:64" ht="18.75" hidden="1" x14ac:dyDescent="0.3">
      <c r="AX568" s="240"/>
      <c r="AY568" s="144"/>
      <c r="AZ568" s="278"/>
      <c r="BA568" s="207"/>
      <c r="BK568" s="135"/>
      <c r="BL568" s="135"/>
    </row>
    <row r="569" spans="50:64" ht="18.75" hidden="1" x14ac:dyDescent="0.3">
      <c r="AX569" s="240"/>
      <c r="AY569" s="144"/>
      <c r="AZ569" s="278"/>
      <c r="BA569" s="207"/>
      <c r="BK569" s="135"/>
      <c r="BL569" s="135"/>
    </row>
    <row r="570" spans="50:64" ht="18.75" hidden="1" x14ac:dyDescent="0.3">
      <c r="AX570" s="240"/>
      <c r="AY570" s="144"/>
      <c r="AZ570" s="278"/>
      <c r="BA570" s="207"/>
      <c r="BK570" s="135"/>
      <c r="BL570" s="135"/>
    </row>
    <row r="571" spans="50:64" ht="18.75" hidden="1" x14ac:dyDescent="0.3">
      <c r="AX571" s="240"/>
      <c r="AY571" s="144"/>
      <c r="AZ571" s="278"/>
      <c r="BA571" s="207"/>
      <c r="BK571" s="135"/>
      <c r="BL571" s="135"/>
    </row>
    <row r="572" spans="50:64" ht="18.75" hidden="1" x14ac:dyDescent="0.3">
      <c r="AX572" s="240"/>
      <c r="AY572" s="144"/>
      <c r="AZ572" s="278"/>
      <c r="BA572" s="207"/>
      <c r="BK572" s="135"/>
      <c r="BL572" s="135"/>
    </row>
    <row r="573" spans="50:64" ht="18.75" hidden="1" x14ac:dyDescent="0.3">
      <c r="AX573" s="240"/>
      <c r="AY573" s="144"/>
      <c r="AZ573" s="278"/>
      <c r="BA573" s="207"/>
      <c r="BK573" s="135"/>
      <c r="BL573" s="135"/>
    </row>
    <row r="574" spans="50:64" ht="18.75" hidden="1" x14ac:dyDescent="0.3">
      <c r="AX574" s="240"/>
      <c r="AY574" s="144"/>
      <c r="AZ574" s="278"/>
      <c r="BA574" s="207"/>
      <c r="BK574" s="135"/>
      <c r="BL574" s="135"/>
    </row>
    <row r="575" spans="50:64" ht="18.75" hidden="1" x14ac:dyDescent="0.3">
      <c r="AX575" s="240"/>
      <c r="AY575" s="144"/>
      <c r="AZ575" s="278"/>
      <c r="BA575" s="207"/>
      <c r="BK575" s="135"/>
      <c r="BL575" s="135"/>
    </row>
    <row r="576" spans="50:64" ht="18.75" hidden="1" x14ac:dyDescent="0.3">
      <c r="AX576" s="240"/>
      <c r="AY576" s="144"/>
      <c r="AZ576" s="278"/>
      <c r="BA576" s="207"/>
      <c r="BK576" s="135"/>
      <c r="BL576" s="135"/>
    </row>
    <row r="577" spans="50:64" ht="18.75" hidden="1" x14ac:dyDescent="0.3">
      <c r="AX577" s="240"/>
      <c r="AY577" s="144"/>
      <c r="AZ577" s="278"/>
      <c r="BA577" s="207"/>
      <c r="BK577" s="135"/>
      <c r="BL577" s="135"/>
    </row>
    <row r="578" spans="50:64" ht="18.75" hidden="1" x14ac:dyDescent="0.3">
      <c r="AX578" s="240"/>
      <c r="AY578" s="144"/>
      <c r="AZ578" s="278"/>
      <c r="BA578" s="207"/>
      <c r="BK578" s="135"/>
      <c r="BL578" s="135"/>
    </row>
    <row r="579" spans="50:64" ht="18.75" hidden="1" x14ac:dyDescent="0.3">
      <c r="AX579" s="240"/>
      <c r="AY579" s="144"/>
      <c r="AZ579" s="278"/>
      <c r="BA579" s="207"/>
      <c r="BK579" s="135"/>
      <c r="BL579" s="135"/>
    </row>
    <row r="580" spans="50:64" ht="18.75" hidden="1" x14ac:dyDescent="0.3">
      <c r="AX580" s="240"/>
      <c r="AY580" s="144"/>
      <c r="AZ580" s="278"/>
      <c r="BA580" s="207"/>
      <c r="BK580" s="135"/>
      <c r="BL580" s="135"/>
    </row>
    <row r="581" spans="50:64" ht="18.75" hidden="1" x14ac:dyDescent="0.3">
      <c r="BA581" s="207"/>
      <c r="BK581" s="135"/>
      <c r="BL581" s="135"/>
    </row>
    <row r="582" spans="50:64" ht="18.75" hidden="1" x14ac:dyDescent="0.3">
      <c r="BA582" s="207"/>
      <c r="BK582" s="135"/>
      <c r="BL582" s="135"/>
    </row>
    <row r="583" spans="50:64" ht="18.75" hidden="1" x14ac:dyDescent="0.3">
      <c r="BA583" s="207"/>
      <c r="BK583" s="135"/>
      <c r="BL583" s="135"/>
    </row>
    <row r="584" spans="50:64" ht="18.75" hidden="1" x14ac:dyDescent="0.3">
      <c r="BA584" s="207"/>
      <c r="BK584" s="135"/>
      <c r="BL584" s="135"/>
    </row>
    <row r="585" spans="50:64" ht="18.75" hidden="1" x14ac:dyDescent="0.3">
      <c r="BA585" s="207"/>
      <c r="BK585" s="135"/>
      <c r="BL585" s="135"/>
    </row>
    <row r="586" spans="50:64" ht="18.75" hidden="1" x14ac:dyDescent="0.3">
      <c r="BA586" s="207"/>
      <c r="BK586" s="135"/>
      <c r="BL586" s="135"/>
    </row>
    <row r="587" spans="50:64" ht="18.75" hidden="1" x14ac:dyDescent="0.3">
      <c r="BA587" s="207"/>
      <c r="BK587" s="135"/>
      <c r="BL587" s="135"/>
    </row>
    <row r="588" spans="50:64" ht="18.75" hidden="1" x14ac:dyDescent="0.3">
      <c r="BA588" s="207"/>
      <c r="BK588" s="135"/>
      <c r="BL588" s="135"/>
    </row>
    <row r="589" spans="50:64" ht="18.75" hidden="1" x14ac:dyDescent="0.3">
      <c r="BA589" s="207"/>
      <c r="BK589" s="135"/>
      <c r="BL589" s="135"/>
    </row>
    <row r="590" spans="50:64" ht="18.75" hidden="1" x14ac:dyDescent="0.3">
      <c r="BA590" s="207"/>
      <c r="BK590" s="135"/>
      <c r="BL590" s="135"/>
    </row>
    <row r="591" spans="50:64" ht="18.75" hidden="1" x14ac:dyDescent="0.3">
      <c r="BA591" s="207"/>
      <c r="BK591" s="135"/>
      <c r="BL591" s="135"/>
    </row>
    <row r="592" spans="50:64" ht="18.75" hidden="1" x14ac:dyDescent="0.3">
      <c r="BA592" s="207"/>
      <c r="BK592" s="135"/>
      <c r="BL592" s="135"/>
    </row>
    <row r="593" spans="53:64" ht="18.75" hidden="1" x14ac:dyDescent="0.3">
      <c r="BA593" s="207"/>
      <c r="BK593" s="135"/>
      <c r="BL593" s="135"/>
    </row>
    <row r="594" spans="53:64" ht="18.75" hidden="1" x14ac:dyDescent="0.3">
      <c r="BA594" s="207"/>
    </row>
    <row r="595" spans="53:64" ht="18.75" hidden="1" x14ac:dyDescent="0.3">
      <c r="BA595" s="207"/>
    </row>
    <row r="596" spans="53:64" ht="18.75" hidden="1" x14ac:dyDescent="0.3">
      <c r="BA596" s="207"/>
    </row>
    <row r="597" spans="53:64" ht="18.75" hidden="1" x14ac:dyDescent="0.3">
      <c r="BA597" s="207"/>
    </row>
    <row r="598" spans="53:64" ht="18.75" hidden="1" x14ac:dyDescent="0.3">
      <c r="BA598" s="207"/>
    </row>
    <row r="599" spans="53:64" ht="18.75" hidden="1" x14ac:dyDescent="0.3"/>
    <row r="600" spans="53:64" ht="18.75" hidden="1" x14ac:dyDescent="0.3"/>
    <row r="601" spans="53:64" ht="18.75" hidden="1" x14ac:dyDescent="0.3"/>
    <row r="602" spans="53:64" ht="0" hidden="1" customHeight="1" x14ac:dyDescent="0.3"/>
  </sheetData>
  <sheetProtection algorithmName="SHA-512" hashValue="aknKjchPaAqlu+qVBXNW/fvxPL/l+4DFdQVnXkop44Y6HY6IwziN1nkpLasKHL9jvHbSio/AZTe187dtf6VSAw==" saltValue="mc7H1VytHhleTaoSnb8ehg==" spinCount="100000" sheet="1" selectLockedCells="1"/>
  <protectedRanges>
    <protectedRange sqref="M8" name="Bereik2_1"/>
    <protectedRange sqref="G8 G10 G12 M10 M8 G15 D18:F31 B18:B31" name="Bereik1_1"/>
  </protectedRanges>
  <dataConsolidate/>
  <mergeCells count="4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BD2:BJ2"/>
    <mergeCell ref="M20:R20"/>
    <mergeCell ref="M19:R19"/>
    <mergeCell ref="O12:S12"/>
    <mergeCell ref="O10:R11"/>
    <mergeCell ref="AC2:AM6"/>
    <mergeCell ref="V2:AA6"/>
    <mergeCell ref="AB2:AB6"/>
    <mergeCell ref="T2:U6"/>
    <mergeCell ref="P14:S17"/>
    <mergeCell ref="D42:F42"/>
    <mergeCell ref="D40:F40"/>
    <mergeCell ref="L41:M41"/>
    <mergeCell ref="L27:M27"/>
    <mergeCell ref="J99:K99"/>
    <mergeCell ref="L42:M42"/>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s>
  <conditionalFormatting sqref="O39 N28:N38">
    <cfRule type="expression" dxfId="129" priority="201">
      <formula>#REF!="ja"</formula>
    </cfRule>
  </conditionalFormatting>
  <conditionalFormatting sqref="Q22:R22 Q24">
    <cfRule type="expression" dxfId="128" priority="195">
      <formula>AND($R$21="ja",$M$5&lt;&gt;"financiële ruimte")</formula>
    </cfRule>
  </conditionalFormatting>
  <conditionalFormatting sqref="Q23">
    <cfRule type="expression" dxfId="127" priority="194">
      <formula>AND($R$21="ja",$M$5&lt;&gt;"financiële ruimte")</formula>
    </cfRule>
  </conditionalFormatting>
  <conditionalFormatting sqref="L22:N24">
    <cfRule type="expression" dxfId="126" priority="193">
      <formula>$R$21="ja"</formula>
    </cfRule>
  </conditionalFormatting>
  <conditionalFormatting sqref="L21">
    <cfRule type="expression" dxfId="125" priority="208">
      <formula>$M$20="niet akkoord"</formula>
    </cfRule>
  </conditionalFormatting>
  <conditionalFormatting sqref="T19">
    <cfRule type="expression" dxfId="124" priority="180">
      <formula>$I$33&gt;0</formula>
    </cfRule>
  </conditionalFormatting>
  <conditionalFormatting sqref="M14">
    <cfRule type="expression" dxfId="123" priority="179">
      <formula>$I$33&gt;0</formula>
    </cfRule>
  </conditionalFormatting>
  <conditionalFormatting sqref="M25">
    <cfRule type="expression" dxfId="122" priority="171">
      <formula>$Q$22="Ja; ouder met kind jonger dan 18 die thuis woont"</formula>
    </cfRule>
    <cfRule type="expression" dxfId="121" priority="175">
      <formula>$Q$22="ja; sprake van betaalde arbeid"</formula>
    </cfRule>
    <cfRule type="expression" dxfId="120" priority="176">
      <formula>$Q$22="ja; opgroeiend kind thuis jonger dan 23 jaar"</formula>
    </cfRule>
  </conditionalFormatting>
  <conditionalFormatting sqref="D40:F41">
    <cfRule type="expression" dxfId="119" priority="166">
      <formula>$AA$32=2</formula>
    </cfRule>
  </conditionalFormatting>
  <conditionalFormatting sqref="D42:F42 U56:V56">
    <cfRule type="expression" dxfId="118" priority="163">
      <formula>$AB$34=5</formula>
    </cfRule>
    <cfRule type="expression" dxfId="117" priority="164">
      <formula>$AB$34=4</formula>
    </cfRule>
    <cfRule type="expression" dxfId="116" priority="165">
      <formula>$AB$34=6</formula>
    </cfRule>
  </conditionalFormatting>
  <conditionalFormatting sqref="O12">
    <cfRule type="expression" dxfId="115" priority="158">
      <formula>$Q$24="meerzorg"</formula>
    </cfRule>
  </conditionalFormatting>
  <conditionalFormatting sqref="D46">
    <cfRule type="expression" dxfId="114" priority="151">
      <formula>$L$41=1</formula>
    </cfRule>
  </conditionalFormatting>
  <conditionalFormatting sqref="G13:K13 I14:K15 B15 G14:H14">
    <cfRule type="expression" dxfId="113" priority="211">
      <formula>$G$12="ja"</formula>
    </cfRule>
  </conditionalFormatting>
  <conditionalFormatting sqref="I9:L9">
    <cfRule type="expression" dxfId="112" priority="215">
      <formula>$M$8&gt;0</formula>
    </cfRule>
    <cfRule type="expression" dxfId="111" priority="216">
      <formula>$G$12="ja"</formula>
    </cfRule>
  </conditionalFormatting>
  <conditionalFormatting sqref="N28">
    <cfRule type="expression" dxfId="110" priority="145">
      <formula>$N$28=0</formula>
    </cfRule>
  </conditionalFormatting>
  <conditionalFormatting sqref="N29">
    <cfRule type="expression" dxfId="109" priority="144">
      <formula>$N$29=0</formula>
    </cfRule>
  </conditionalFormatting>
  <conditionalFormatting sqref="N30">
    <cfRule type="expression" dxfId="108" priority="129">
      <formula>$L$30=0</formula>
    </cfRule>
    <cfRule type="expression" dxfId="107" priority="130">
      <formula>$L$30=""</formula>
    </cfRule>
    <cfRule type="expression" dxfId="106" priority="143">
      <formula>$N$30=0</formula>
    </cfRule>
  </conditionalFormatting>
  <conditionalFormatting sqref="N31">
    <cfRule type="expression" dxfId="105" priority="142">
      <formula>$N$31=0</formula>
    </cfRule>
  </conditionalFormatting>
  <conditionalFormatting sqref="N32">
    <cfRule type="expression" dxfId="104" priority="141">
      <formula>$N$32=0</formula>
    </cfRule>
  </conditionalFormatting>
  <conditionalFormatting sqref="N33">
    <cfRule type="expression" dxfId="103" priority="140">
      <formula>$N$33=0</formula>
    </cfRule>
  </conditionalFormatting>
  <conditionalFormatting sqref="N34">
    <cfRule type="expression" dxfId="102" priority="139">
      <formula>$N$34=0</formula>
    </cfRule>
  </conditionalFormatting>
  <conditionalFormatting sqref="K18:K32">
    <cfRule type="expression" dxfId="101" priority="125">
      <formula>$F$18=0</formula>
    </cfRule>
  </conditionalFormatting>
  <conditionalFormatting sqref="K17">
    <cfRule type="expression" dxfId="100" priority="110">
      <formula>$F$18=0</formula>
    </cfRule>
  </conditionalFormatting>
  <conditionalFormatting sqref="I33:I34">
    <cfRule type="expression" dxfId="99" priority="109">
      <formula>$M$5&lt;&gt;"extramurale ruimte"</formula>
    </cfRule>
  </conditionalFormatting>
  <conditionalFormatting sqref="M22:N24">
    <cfRule type="expression" dxfId="98" priority="108">
      <formula>$M$5="financiële ruimte"</formula>
    </cfRule>
  </conditionalFormatting>
  <conditionalFormatting sqref="P14">
    <cfRule type="expression" dxfId="97" priority="105">
      <formula>AND($M$5="financiële ruimte",$R$21="ja")</formula>
    </cfRule>
  </conditionalFormatting>
  <conditionalFormatting sqref="L29:M29">
    <cfRule type="expression" dxfId="96" priority="104">
      <formula>$L$29=0</formula>
    </cfRule>
  </conditionalFormatting>
  <conditionalFormatting sqref="L28:M28">
    <cfRule type="expression" dxfId="95" priority="103">
      <formula>$L$28=0</formula>
    </cfRule>
  </conditionalFormatting>
  <conditionalFormatting sqref="L30:M30">
    <cfRule type="expression" dxfId="94" priority="102">
      <formula>$L$30=0</formula>
    </cfRule>
  </conditionalFormatting>
  <conditionalFormatting sqref="Q22:R24">
    <cfRule type="expression" dxfId="93" priority="101" stopIfTrue="1">
      <formula>"en($M$5=""financiële ruimte"";$R$21=""ja"")"</formula>
    </cfRule>
  </conditionalFormatting>
  <conditionalFormatting sqref="M9 M11">
    <cfRule type="expression" dxfId="92" priority="100">
      <formula>$M$5="extramurale ruimte"</formula>
    </cfRule>
  </conditionalFormatting>
  <conditionalFormatting sqref="M10 M12">
    <cfRule type="expression" dxfId="91" priority="99">
      <formula>$M$5="extramurale ruimte"</formula>
    </cfRule>
  </conditionalFormatting>
  <conditionalFormatting sqref="K19">
    <cfRule type="expression" dxfId="90" priority="98">
      <formula>$K$19=0</formula>
    </cfRule>
  </conditionalFormatting>
  <conditionalFormatting sqref="K20">
    <cfRule type="expression" dxfId="89" priority="97">
      <formula>$K$20=0</formula>
    </cfRule>
  </conditionalFormatting>
  <conditionalFormatting sqref="K21">
    <cfRule type="expression" dxfId="88" priority="96">
      <formula>$K$21=0</formula>
    </cfRule>
  </conditionalFormatting>
  <conditionalFormatting sqref="K22">
    <cfRule type="expression" dxfId="87" priority="95">
      <formula>$K$22=0</formula>
    </cfRule>
  </conditionalFormatting>
  <conditionalFormatting sqref="K23">
    <cfRule type="expression" dxfId="86" priority="94">
      <formula>$K$23=0</formula>
    </cfRule>
  </conditionalFormatting>
  <conditionalFormatting sqref="K24">
    <cfRule type="expression" dxfId="85" priority="93">
      <formula>$K$24=0</formula>
    </cfRule>
  </conditionalFormatting>
  <conditionalFormatting sqref="K25">
    <cfRule type="expression" dxfId="84" priority="92">
      <formula>$K$25=0</formula>
    </cfRule>
  </conditionalFormatting>
  <conditionalFormatting sqref="K26">
    <cfRule type="expression" dxfId="83" priority="91">
      <formula>$K$26=0</formula>
    </cfRule>
  </conditionalFormatting>
  <conditionalFormatting sqref="H27:K27">
    <cfRule type="expression" dxfId="82" priority="90">
      <formula>$K$27=0</formula>
    </cfRule>
  </conditionalFormatting>
  <conditionalFormatting sqref="H28:K28">
    <cfRule type="expression" dxfId="81" priority="89">
      <formula>$K$28=0</formula>
    </cfRule>
  </conditionalFormatting>
  <conditionalFormatting sqref="H29:K29">
    <cfRule type="expression" dxfId="80" priority="88">
      <formula>$K$29=0</formula>
    </cfRule>
  </conditionalFormatting>
  <conditionalFormatting sqref="H30:K30">
    <cfRule type="expression" dxfId="79" priority="87">
      <formula>$K$30=0</formula>
    </cfRule>
  </conditionalFormatting>
  <conditionalFormatting sqref="H31:K31">
    <cfRule type="expression" dxfId="78" priority="86">
      <formula>$K$31=0</formula>
    </cfRule>
  </conditionalFormatting>
  <conditionalFormatting sqref="H26:I26">
    <cfRule type="expression" dxfId="77" priority="85">
      <formula>$K$26=0</formula>
    </cfRule>
  </conditionalFormatting>
  <conditionalFormatting sqref="H25:I25">
    <cfRule type="expression" dxfId="76" priority="84">
      <formula>$G$25=0</formula>
    </cfRule>
  </conditionalFormatting>
  <conditionalFormatting sqref="H24:I24">
    <cfRule type="expression" dxfId="75" priority="83">
      <formula>$G$24=0</formula>
    </cfRule>
  </conditionalFormatting>
  <conditionalFormatting sqref="H23:I23">
    <cfRule type="expression" dxfId="74" priority="82">
      <formula>$G$23=0</formula>
    </cfRule>
  </conditionalFormatting>
  <conditionalFormatting sqref="H22:I22">
    <cfRule type="expression" dxfId="73" priority="81">
      <formula>$G$22=0</formula>
    </cfRule>
  </conditionalFormatting>
  <conditionalFormatting sqref="H21:I21">
    <cfRule type="expression" dxfId="72" priority="80">
      <formula>$G$21=0</formula>
    </cfRule>
  </conditionalFormatting>
  <conditionalFormatting sqref="I19">
    <cfRule type="expression" dxfId="71" priority="78">
      <formula>$G$19=0</formula>
    </cfRule>
  </conditionalFormatting>
  <conditionalFormatting sqref="H18:I18">
    <cfRule type="expression" dxfId="70" priority="77">
      <formula>$G$18=0</formula>
    </cfRule>
  </conditionalFormatting>
  <conditionalFormatting sqref="G19">
    <cfRule type="expression" dxfId="69" priority="76">
      <formula>$G$19=0</formula>
    </cfRule>
  </conditionalFormatting>
  <conditionalFormatting sqref="G18">
    <cfRule type="expression" dxfId="68" priority="75">
      <formula>$G$18=0</formula>
    </cfRule>
  </conditionalFormatting>
  <conditionalFormatting sqref="G20">
    <cfRule type="expression" dxfId="67" priority="74">
      <formula>$G$20=0</formula>
    </cfRule>
  </conditionalFormatting>
  <conditionalFormatting sqref="G21">
    <cfRule type="expression" dxfId="66" priority="73">
      <formula>$G$21=0</formula>
    </cfRule>
  </conditionalFormatting>
  <conditionalFormatting sqref="G22">
    <cfRule type="expression" dxfId="65" priority="72">
      <formula>$G$22=0</formula>
    </cfRule>
  </conditionalFormatting>
  <conditionalFormatting sqref="G23">
    <cfRule type="expression" dxfId="64" priority="71">
      <formula>$G$23=0</formula>
    </cfRule>
  </conditionalFormatting>
  <conditionalFormatting sqref="G24">
    <cfRule type="expression" dxfId="63" priority="70">
      <formula>$G$24=0</formula>
    </cfRule>
  </conditionalFormatting>
  <conditionalFormatting sqref="G25">
    <cfRule type="expression" dxfId="62" priority="69">
      <formula>$G$25=0</formula>
    </cfRule>
  </conditionalFormatting>
  <conditionalFormatting sqref="G26">
    <cfRule type="expression" dxfId="61" priority="68">
      <formula>$G$26=0</formula>
    </cfRule>
  </conditionalFormatting>
  <conditionalFormatting sqref="G27">
    <cfRule type="expression" dxfId="60" priority="67">
      <formula>$G$27=0</formula>
    </cfRule>
  </conditionalFormatting>
  <conditionalFormatting sqref="G28">
    <cfRule type="expression" dxfId="59" priority="66">
      <formula>$G$28=0</formula>
    </cfRule>
  </conditionalFormatting>
  <conditionalFormatting sqref="G29">
    <cfRule type="expression" dxfId="58" priority="65">
      <formula>$G$29=0</formula>
    </cfRule>
  </conditionalFormatting>
  <conditionalFormatting sqref="G30">
    <cfRule type="expression" dxfId="57" priority="64">
      <formula>$G$30=0</formula>
    </cfRule>
  </conditionalFormatting>
  <conditionalFormatting sqref="G31">
    <cfRule type="expression" dxfId="56" priority="63">
      <formula>$G$31=0</formula>
    </cfRule>
  </conditionalFormatting>
  <conditionalFormatting sqref="L31:M31">
    <cfRule type="expression" dxfId="55" priority="62">
      <formula>$L$31=0</formula>
    </cfRule>
  </conditionalFormatting>
  <conditionalFormatting sqref="L32:M32">
    <cfRule type="expression" dxfId="54" priority="61">
      <formula>$L$32=0</formula>
    </cfRule>
  </conditionalFormatting>
  <conditionalFormatting sqref="L33:M33">
    <cfRule type="expression" dxfId="53" priority="60">
      <formula>$L$33=0</formula>
    </cfRule>
  </conditionalFormatting>
  <conditionalFormatting sqref="L34:M34">
    <cfRule type="expression" dxfId="52" priority="59">
      <formula>$L$34=0</formula>
    </cfRule>
  </conditionalFormatting>
  <conditionalFormatting sqref="L35:M35">
    <cfRule type="expression" dxfId="51" priority="58">
      <formula>$L$35=0</formula>
    </cfRule>
  </conditionalFormatting>
  <conditionalFormatting sqref="L36:M36">
    <cfRule type="expression" dxfId="50" priority="57">
      <formula>$L$36=0</formula>
    </cfRule>
  </conditionalFormatting>
  <conditionalFormatting sqref="L37:M37">
    <cfRule type="expression" dxfId="49" priority="56">
      <formula>$L$37=0</formula>
    </cfRule>
  </conditionalFormatting>
  <conditionalFormatting sqref="L38:M39">
    <cfRule type="expression" dxfId="48" priority="55">
      <formula>$L$38=0</formula>
    </cfRule>
  </conditionalFormatting>
  <conditionalFormatting sqref="I8:L8">
    <cfRule type="expression" dxfId="47" priority="54">
      <formula>$G$12="ja"</formula>
    </cfRule>
  </conditionalFormatting>
  <conditionalFormatting sqref="M8">
    <cfRule type="expression" dxfId="46" priority="53">
      <formula>$G$12="ja"</formula>
    </cfRule>
  </conditionalFormatting>
  <conditionalFormatting sqref="M15">
    <cfRule type="expression" dxfId="45" priority="52">
      <formula>$I$33&gt;0</formula>
    </cfRule>
  </conditionalFormatting>
  <conditionalFormatting sqref="N8">
    <cfRule type="expression" dxfId="44" priority="48">
      <formula>$M$8&gt;0</formula>
    </cfRule>
  </conditionalFormatting>
  <conditionalFormatting sqref="N17">
    <cfRule type="expression" dxfId="43" priority="49">
      <formula>$M$17&gt;0</formula>
    </cfRule>
  </conditionalFormatting>
  <conditionalFormatting sqref="R21">
    <cfRule type="expression" dxfId="42" priority="250">
      <formula>$M$20="PGB: Rekenmodule voorleggen aan Zorgkantoor"</formula>
    </cfRule>
    <cfRule type="expression" dxfId="41" priority="251">
      <formula>$T$23=3</formula>
    </cfRule>
    <cfRule type="expression" dxfId="40" priority="252">
      <formula>$R$21="ja"</formula>
    </cfRule>
    <cfRule type="expression" dxfId="39" priority="253">
      <formula>$M$20="rekenmodule voorleggen aan zorgkantoor"</formula>
    </cfRule>
    <cfRule type="expression" dxfId="38" priority="254">
      <formula>$M$20="zorg aanvragen via iWLZ, geen extra toestemming vereist"</formula>
    </cfRule>
  </conditionalFormatting>
  <conditionalFormatting sqref="M21">
    <cfRule type="expression" dxfId="37" priority="255">
      <formula>$M$20="PGB: Rekenmodule voorleggen aan Zorgkantoor"</formula>
    </cfRule>
    <cfRule type="expression" dxfId="36" priority="256">
      <formula>$T$23=3</formula>
    </cfRule>
    <cfRule type="expression" dxfId="35" priority="257">
      <formula>$M$20="rekenmodule voorleggen aan zorgkantoor"</formula>
    </cfRule>
    <cfRule type="expression" dxfId="34" priority="258">
      <formula>R21="ja"</formula>
    </cfRule>
  </conditionalFormatting>
  <conditionalFormatting sqref="H18">
    <cfRule type="expression" dxfId="33" priority="46">
      <formula>$H$18="fout splitsing"</formula>
    </cfRule>
  </conditionalFormatting>
  <conditionalFormatting sqref="N15">
    <cfRule type="expression" dxfId="32" priority="45">
      <formula>$I$33&gt;0</formula>
    </cfRule>
  </conditionalFormatting>
  <conditionalFormatting sqref="K33">
    <cfRule type="expression" dxfId="31" priority="43">
      <formula>$I$33&gt;0</formula>
    </cfRule>
  </conditionalFormatting>
  <conditionalFormatting sqref="K34">
    <cfRule type="expression" dxfId="30" priority="42">
      <formula>$I$34&gt;0</formula>
    </cfRule>
  </conditionalFormatting>
  <conditionalFormatting sqref="K38">
    <cfRule type="expression" dxfId="29" priority="41">
      <formula>$I$38&gt;0</formula>
    </cfRule>
  </conditionalFormatting>
  <conditionalFormatting sqref="K40">
    <cfRule type="expression" dxfId="28" priority="40">
      <formula>$I$40&gt;0</formula>
    </cfRule>
  </conditionalFormatting>
  <conditionalFormatting sqref="K41">
    <cfRule type="expression" dxfId="27" priority="39">
      <formula>$I$41&gt;0</formula>
    </cfRule>
  </conditionalFormatting>
  <conditionalFormatting sqref="K42">
    <cfRule type="expression" dxfId="26" priority="37">
      <formula>$I$42&gt;0</formula>
    </cfRule>
  </conditionalFormatting>
  <conditionalFormatting sqref="D44">
    <cfRule type="expression" dxfId="25" priority="36">
      <formula>$L$41=1</formula>
    </cfRule>
  </conditionalFormatting>
  <conditionalFormatting sqref="K35">
    <cfRule type="expression" dxfId="24" priority="259">
      <formula>$E$45&gt;0</formula>
    </cfRule>
  </conditionalFormatting>
  <conditionalFormatting sqref="I35">
    <cfRule type="expression" dxfId="23" priority="35">
      <formula>$I$35&gt;0</formula>
    </cfRule>
  </conditionalFormatting>
  <conditionalFormatting sqref="H20">
    <cfRule type="expression" dxfId="22" priority="34">
      <formula>G20=0</formula>
    </cfRule>
  </conditionalFormatting>
  <conditionalFormatting sqref="H19">
    <cfRule type="expression" dxfId="21" priority="33">
      <formula>$G$19=0</formula>
    </cfRule>
  </conditionalFormatting>
  <conditionalFormatting sqref="I20">
    <cfRule type="expression" dxfId="20" priority="32">
      <formula>$G$20=0</formula>
    </cfRule>
  </conditionalFormatting>
  <conditionalFormatting sqref="I34">
    <cfRule type="expression" dxfId="19" priority="31">
      <formula>$M$8&gt;0</formula>
    </cfRule>
  </conditionalFormatting>
  <conditionalFormatting sqref="K39">
    <cfRule type="expression" dxfId="18" priority="30">
      <formula>$I$39&gt;0</formula>
    </cfRule>
  </conditionalFormatting>
  <conditionalFormatting sqref="F14">
    <cfRule type="expression" dxfId="17" priority="29">
      <formula>$G$12="ja"</formula>
    </cfRule>
  </conditionalFormatting>
  <conditionalFormatting sqref="K14">
    <cfRule type="expression" dxfId="16" priority="28">
      <formula>$G$12="ja"</formula>
    </cfRule>
  </conditionalFormatting>
  <conditionalFormatting sqref="I33">
    <cfRule type="expression" dxfId="15" priority="27">
      <formula>$I$33=0</formula>
    </cfRule>
  </conditionalFormatting>
  <conditionalFormatting sqref="O8">
    <cfRule type="expression" dxfId="14" priority="25">
      <formula>$G$12="ja"</formula>
    </cfRule>
  </conditionalFormatting>
  <conditionalFormatting sqref="D40:F40">
    <cfRule type="expression" dxfId="13" priority="24">
      <formula>$D$40=0</formula>
    </cfRule>
  </conditionalFormatting>
  <conditionalFormatting sqref="D42:F42">
    <cfRule type="expression" dxfId="12" priority="23">
      <formula>$D$42=0</formula>
    </cfRule>
  </conditionalFormatting>
  <conditionalFormatting sqref="U19">
    <cfRule type="expression" dxfId="11" priority="22">
      <formula>$I$33&gt;0</formula>
    </cfRule>
  </conditionalFormatting>
  <conditionalFormatting sqref="O39 N35:N38">
    <cfRule type="expression" dxfId="10" priority="266">
      <formula>$N$35=0</formula>
    </cfRule>
  </conditionalFormatting>
  <conditionalFormatting sqref="O28">
    <cfRule type="expression" dxfId="9" priority="19">
      <formula>$N$28=0</formula>
    </cfRule>
  </conditionalFormatting>
  <conditionalFormatting sqref="O28:R30">
    <cfRule type="expression" dxfId="8" priority="7">
      <formula>$P$27="ja"</formula>
    </cfRule>
    <cfRule type="expression" dxfId="7" priority="8">
      <formula>$P$27="Ja"</formula>
    </cfRule>
  </conditionalFormatting>
  <conditionalFormatting sqref="O27:R27">
    <cfRule type="expression" dxfId="6" priority="5">
      <formula>SUM($N$28:$N$38)&lt;1%</formula>
    </cfRule>
    <cfRule type="expression" dxfId="5" priority="6">
      <formula>$M$20="eerst zorgvraag invullen"</formula>
    </cfRule>
  </conditionalFormatting>
  <conditionalFormatting sqref="P30:R30">
    <cfRule type="expression" dxfId="4" priority="4">
      <formula>$R$21=""</formula>
    </cfRule>
  </conditionalFormatting>
  <conditionalFormatting sqref="O28:O30">
    <cfRule type="expression" dxfId="3" priority="3">
      <formula>$P$27="ja"</formula>
    </cfRule>
  </conditionalFormatting>
  <dataValidations count="15">
    <dataValidation type="list" allowBlank="1" showInputMessage="1" showErrorMessage="1" sqref="G8:H8" xr:uid="{00000000-0002-0000-0100-000000000000}">
      <formula1>"SOM,PG,LG,VG,ZG"</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INDIRECT($DH$7)</formula1>
    </dataValidation>
    <dataValidation type="whole" allowBlank="1" showInputMessage="1" showErrorMessage="1" errorTitle="Alleen gehele waarden invullen" error="Komma getallen niet toegestaan" sqref="F18:F31" xr:uid="{00000000-0002-0000-0100-000004000000}">
      <formula1>0</formula1>
      <formula2>1000000000000000</formula2>
    </dataValidation>
    <dataValidation type="list" allowBlank="1" showInputMessage="1" showErrorMessage="1" sqref="Q24:R24" xr:uid="{00000000-0002-0000-0100-000005000000}">
      <formula1>Lijst3</formula1>
    </dataValidation>
    <dataValidation type="list" allowBlank="1" showInputMessage="1" showErrorMessage="1" sqref="Q23:R23" xr:uid="{00000000-0002-0000-0100-000006000000}">
      <formula1>"ja invasieve beademing,ja non-invasieve beademing,Nee"</formula1>
    </dataValidation>
    <dataValidation type="list" allowBlank="1" showInputMessage="1" showErrorMessage="1" sqref="F5:H6" xr:uid="{00000000-0002-0000-0100-000007000000}">
      <formula1>$EK$2:$EK$4</formula1>
    </dataValidation>
    <dataValidation type="list" allowBlank="1" showInputMessage="1" showErrorMessage="1" sqref="K14" xr:uid="{00000000-0002-0000-0100-000008000000}">
      <formula1>"ja,nee"</formula1>
    </dataValidation>
    <dataValidation type="list" allowBlank="1" showInputMessage="1" showErrorMessage="1" sqref="B19:B31" xr:uid="{00000000-0002-0000-0100-000009000000}">
      <formula1>IF($EK$12=9,INDIRECT($EK$8),IF($EK$12=8,INDIRECT($EK$7),INDIRECT($F$5)))</formula1>
    </dataValidation>
    <dataValidation type="list" allowBlank="1" showInputMessage="1" showErrorMessage="1" sqref="B18" xr:uid="{00000000-0002-0000-0100-00000A000000}">
      <formula1>IF($EK$12=12,INDIRECT($EK$8),IF($EK$12=8,INDIRECT($EK$7),INDIRECT($F$5)))</formula1>
    </dataValidation>
    <dataValidation type="list" allowBlank="1" showInputMessage="1" showErrorMessage="1" sqref="H1" xr:uid="{00000000-0002-0000-0100-00000B000000}">
      <formula1>$AB$7:$AB$28</formula1>
    </dataValidation>
    <dataValidation type="list" allowBlank="1" showInputMessage="1" showErrorMessage="1" sqref="D29:D31" xr:uid="{00000000-0002-0000-0100-00000E000000}">
      <formula1>IF(EP40=0,INDIRECT(C29),INDIRECT(EO43))</formula1>
    </dataValidation>
    <dataValidation type="list" allowBlank="1" showInputMessage="1" showErrorMessage="1" sqref="D18:D26" xr:uid="{00000000-0002-0000-0100-00000C000000}">
      <formula1>IF(EP28=0,INDIRECT(C18),INDIRECT(EO31))</formula1>
    </dataValidation>
    <dataValidation type="list" allowBlank="1" showInputMessage="1" showErrorMessage="1" sqref="D27:D28" xr:uid="{00000000-0002-0000-0100-00000D000000}">
      <formula1>IF(EP37=0,INDIRECT(C27),INDIRECT(EO41))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CC0066"/>
  </sheetPr>
  <dimension ref="A1:V108"/>
  <sheetViews>
    <sheetView workbookViewId="0"/>
  </sheetViews>
  <sheetFormatPr defaultColWidth="0" defaultRowHeight="15" zeroHeight="1" x14ac:dyDescent="0.25"/>
  <cols>
    <col min="1" max="1" width="3.28515625" style="62" customWidth="1"/>
    <col min="2" max="2" width="4" style="62" customWidth="1"/>
    <col min="3" max="3" width="2.7109375" style="62" customWidth="1"/>
    <col min="4" max="4" width="9.28515625" style="62" customWidth="1"/>
    <col min="5" max="5" width="10.42578125" style="62" customWidth="1"/>
    <col min="6" max="6" width="6.7109375" style="62" customWidth="1"/>
    <col min="7" max="10" width="9.28515625" style="62" customWidth="1"/>
    <col min="11" max="12" width="13.28515625" style="62" customWidth="1"/>
    <col min="13" max="18" width="13.28515625" style="62" hidden="1" customWidth="1"/>
    <col min="19" max="19" width="9.28515625" style="62" hidden="1" customWidth="1"/>
    <col min="20" max="16384" width="13.28515625" style="62" hidden="1"/>
  </cols>
  <sheetData>
    <row r="1" spans="1:22" ht="26.25" x14ac:dyDescent="0.4">
      <c r="A1" s="43" t="s">
        <v>2699</v>
      </c>
      <c r="J1" s="120"/>
      <c r="K1" s="120"/>
    </row>
    <row r="2" spans="1:22" ht="26.25" x14ac:dyDescent="0.4">
      <c r="A2" s="43"/>
      <c r="B2" s="62" t="s">
        <v>2700</v>
      </c>
      <c r="F2" s="103">
        <f>P5</f>
        <v>0</v>
      </c>
      <c r="G2" s="62" t="s">
        <v>1731</v>
      </c>
      <c r="I2" s="518" t="s">
        <v>2747</v>
      </c>
      <c r="J2" s="518"/>
      <c r="K2" s="518"/>
      <c r="L2" s="448"/>
      <c r="O2" s="62" t="s">
        <v>1253</v>
      </c>
      <c r="P2" s="62">
        <f>SUMIF(Rekenblad!$B$17:$B$31,"PV",Rekenblad!$F$17:$F$31)</f>
        <v>0</v>
      </c>
      <c r="R2" s="62" t="s">
        <v>1543</v>
      </c>
      <c r="S2" s="62">
        <f>SUMIF(Rekenblad!$B$17:$B$31,"BGgrp",Rekenblad!$F$17:$F$31)</f>
        <v>0</v>
      </c>
      <c r="V2" s="103">
        <f>F5-K5</f>
        <v>0</v>
      </c>
    </row>
    <row r="3" spans="1:22" ht="26.25" x14ac:dyDescent="0.4">
      <c r="A3" s="43"/>
      <c r="B3" s="62" t="s">
        <v>2701</v>
      </c>
      <c r="F3" s="103">
        <f>S2</f>
        <v>0</v>
      </c>
      <c r="G3" s="62" t="s">
        <v>1731</v>
      </c>
      <c r="I3" s="518"/>
      <c r="J3" s="518"/>
      <c r="K3" s="518"/>
      <c r="L3" s="448"/>
      <c r="O3" s="62" t="s">
        <v>1255</v>
      </c>
      <c r="P3" s="62">
        <f>SUMIF(Rekenblad!$B$17:$B$31,"VP",Rekenblad!$F$17:$F$31)</f>
        <v>0</v>
      </c>
      <c r="R3" s="62" t="s">
        <v>1544</v>
      </c>
      <c r="S3" s="62">
        <f>SUMIF(Rekenblad!$B$17:$B$31,"BHgrp",Rekenblad!$F$17:$F$31)</f>
        <v>0</v>
      </c>
    </row>
    <row r="4" spans="1:22" ht="26.25" x14ac:dyDescent="0.4">
      <c r="A4" s="43"/>
      <c r="B4" s="62" t="s">
        <v>2702</v>
      </c>
      <c r="F4" s="103">
        <f>S5</f>
        <v>0</v>
      </c>
      <c r="G4" s="62" t="s">
        <v>1731</v>
      </c>
      <c r="I4" s="448"/>
      <c r="J4" s="448"/>
      <c r="K4" s="448"/>
      <c r="L4" s="448"/>
      <c r="O4" s="62" t="s">
        <v>1542</v>
      </c>
      <c r="P4" s="62">
        <f>SUMIF(Rekenblad!$B$17:$B$31,"BGind",Rekenblad!$F$17:$F$31)</f>
        <v>0</v>
      </c>
      <c r="R4" s="62" t="s">
        <v>1545</v>
      </c>
      <c r="S4" s="62">
        <f>SUMIF(Rekenblad!$B$17:$B$31,"BHind",Rekenblad!$F$17:$F$31)</f>
        <v>0</v>
      </c>
      <c r="T4" s="62">
        <f>S4/60</f>
        <v>0</v>
      </c>
      <c r="V4" s="62">
        <f>IF(V2&lt;=0,1,2)</f>
        <v>1</v>
      </c>
    </row>
    <row r="5" spans="1:22" ht="26.25" x14ac:dyDescent="0.4">
      <c r="A5" s="43"/>
      <c r="B5" s="62" t="s">
        <v>2745</v>
      </c>
      <c r="F5" s="103">
        <f>SUM(F2:F4)</f>
        <v>0</v>
      </c>
      <c r="H5" s="62" t="s">
        <v>2746</v>
      </c>
      <c r="K5" s="62">
        <f>Rekenblad!EB6</f>
        <v>0</v>
      </c>
      <c r="L5" s="62" t="s">
        <v>2749</v>
      </c>
      <c r="P5" s="62">
        <f>SUM(P2:P4)/60</f>
        <v>0</v>
      </c>
      <c r="S5" s="62">
        <f>T4+S3</f>
        <v>0</v>
      </c>
      <c r="V5" s="62">
        <f>IF(Rekenblad!Q24="meerzorg",5,6)</f>
        <v>6</v>
      </c>
    </row>
    <row r="6" spans="1:22" x14ac:dyDescent="0.25">
      <c r="V6" s="62">
        <f>SUM(V4:V5)</f>
        <v>7</v>
      </c>
    </row>
    <row r="7" spans="1:22" x14ac:dyDescent="0.25">
      <c r="A7" s="104" t="s">
        <v>2703</v>
      </c>
    </row>
    <row r="8" spans="1:22" x14ac:dyDescent="0.25">
      <c r="B8" s="105"/>
      <c r="D8" s="62" t="s">
        <v>2704</v>
      </c>
      <c r="G8" s="106" t="s">
        <v>2705</v>
      </c>
      <c r="N8" s="62">
        <f>IF(B8="X",1,0)</f>
        <v>0</v>
      </c>
    </row>
    <row r="9" spans="1:22" x14ac:dyDescent="0.25">
      <c r="B9" s="105"/>
      <c r="D9" s="62" t="s">
        <v>2706</v>
      </c>
      <c r="N9" s="62">
        <f>IF(B9="X",1,0)</f>
        <v>0</v>
      </c>
      <c r="Q9" s="62">
        <f>SUM(N8:N9)</f>
        <v>0</v>
      </c>
      <c r="R9" s="62" t="str">
        <f>IF(Q9=0,"X","")</f>
        <v>X</v>
      </c>
    </row>
    <row r="10" spans="1:22" x14ac:dyDescent="0.25"/>
    <row r="11" spans="1:22" x14ac:dyDescent="0.25"/>
    <row r="12" spans="1:22" x14ac:dyDescent="0.25">
      <c r="A12" s="104" t="s">
        <v>2707</v>
      </c>
      <c r="N12" s="62">
        <f>IF(B13="X",1,0)</f>
        <v>0</v>
      </c>
    </row>
    <row r="13" spans="1:22" x14ac:dyDescent="0.25">
      <c r="B13" s="105"/>
      <c r="D13" s="62" t="s">
        <v>2708</v>
      </c>
      <c r="N13" s="62">
        <f>IF(B14="X",1,0)</f>
        <v>0</v>
      </c>
      <c r="Q13" s="62">
        <f>SUM(N12:N14)</f>
        <v>0</v>
      </c>
      <c r="R13" s="62" t="str">
        <f>IF(Q13=0,"X","")</f>
        <v>X</v>
      </c>
    </row>
    <row r="14" spans="1:22" x14ac:dyDescent="0.25">
      <c r="B14" s="105"/>
      <c r="D14" s="62" t="s">
        <v>2709</v>
      </c>
      <c r="N14" s="62">
        <f>IF(B15="X",1,0)</f>
        <v>0</v>
      </c>
    </row>
    <row r="15" spans="1:22" x14ac:dyDescent="0.25">
      <c r="B15" s="105"/>
      <c r="D15" s="62" t="s">
        <v>2710</v>
      </c>
    </row>
    <row r="16" spans="1:22" x14ac:dyDescent="0.25"/>
    <row r="17" spans="1:19" x14ac:dyDescent="0.25"/>
    <row r="18" spans="1:19" x14ac:dyDescent="0.25">
      <c r="A18" s="104" t="s">
        <v>2711</v>
      </c>
      <c r="S18" s="62">
        <f>IF([2]Rekenblad!P21="nee",-1,0)</f>
        <v>0</v>
      </c>
    </row>
    <row r="19" spans="1:19" x14ac:dyDescent="0.25">
      <c r="B19" s="460"/>
      <c r="C19" s="460"/>
      <c r="D19" s="460"/>
      <c r="E19" s="460"/>
      <c r="F19" s="460"/>
      <c r="G19" s="460"/>
      <c r="H19" s="460"/>
      <c r="I19" s="460"/>
      <c r="J19" s="460"/>
      <c r="K19" s="460"/>
      <c r="S19" s="62">
        <f>IF([2]Rekenblad!P21="ja",1,0)</f>
        <v>1</v>
      </c>
    </row>
    <row r="20" spans="1:19" x14ac:dyDescent="0.25">
      <c r="B20" s="460"/>
      <c r="C20" s="460"/>
      <c r="D20" s="460"/>
      <c r="E20" s="460"/>
      <c r="F20" s="460"/>
      <c r="G20" s="460"/>
      <c r="H20" s="460"/>
      <c r="I20" s="460"/>
      <c r="J20" s="460"/>
      <c r="K20" s="460"/>
      <c r="S20" s="62">
        <f>Q9</f>
        <v>0</v>
      </c>
    </row>
    <row r="21" spans="1:19" x14ac:dyDescent="0.25">
      <c r="B21" s="460"/>
      <c r="C21" s="460"/>
      <c r="D21" s="460"/>
      <c r="E21" s="460"/>
      <c r="F21" s="460"/>
      <c r="G21" s="460"/>
      <c r="H21" s="460"/>
      <c r="I21" s="460"/>
      <c r="J21" s="460"/>
      <c r="K21" s="460"/>
      <c r="S21" s="62">
        <f>SUM(S18:S20)</f>
        <v>1</v>
      </c>
    </row>
    <row r="22" spans="1:19" x14ac:dyDescent="0.25">
      <c r="B22" s="460"/>
      <c r="C22" s="460"/>
      <c r="D22" s="460"/>
      <c r="E22" s="460"/>
      <c r="F22" s="460"/>
      <c r="G22" s="460"/>
      <c r="H22" s="460"/>
      <c r="I22" s="460"/>
      <c r="J22" s="460"/>
      <c r="K22" s="460"/>
    </row>
    <row r="23" spans="1:19" x14ac:dyDescent="0.25">
      <c r="B23" s="460"/>
      <c r="C23" s="460"/>
      <c r="D23" s="460"/>
      <c r="E23" s="460"/>
      <c r="F23" s="460"/>
      <c r="G23" s="460"/>
      <c r="H23" s="460"/>
      <c r="I23" s="460"/>
      <c r="J23" s="460"/>
      <c r="K23" s="460"/>
    </row>
    <row r="24" spans="1:19" x14ac:dyDescent="0.25">
      <c r="B24" s="460"/>
      <c r="C24" s="460"/>
      <c r="D24" s="460"/>
      <c r="E24" s="460"/>
      <c r="F24" s="460"/>
      <c r="G24" s="460"/>
      <c r="H24" s="460"/>
      <c r="I24" s="460"/>
      <c r="J24" s="460"/>
      <c r="K24" s="460"/>
    </row>
    <row r="25" spans="1:19" x14ac:dyDescent="0.25">
      <c r="B25" s="460"/>
      <c r="C25" s="460"/>
      <c r="D25" s="460"/>
      <c r="E25" s="460"/>
      <c r="F25" s="460"/>
      <c r="G25" s="460"/>
      <c r="H25" s="460"/>
      <c r="I25" s="460"/>
      <c r="J25" s="460"/>
      <c r="K25" s="460"/>
    </row>
    <row r="26" spans="1:19" x14ac:dyDescent="0.25">
      <c r="B26" s="460"/>
      <c r="C26" s="460"/>
      <c r="D26" s="460"/>
      <c r="E26" s="460"/>
      <c r="F26" s="460"/>
      <c r="G26" s="460"/>
      <c r="H26" s="460"/>
      <c r="I26" s="460"/>
      <c r="J26" s="460"/>
      <c r="K26" s="460"/>
    </row>
    <row r="27" spans="1:19" x14ac:dyDescent="0.25">
      <c r="B27" s="460"/>
      <c r="C27" s="460"/>
      <c r="D27" s="460"/>
      <c r="E27" s="460"/>
      <c r="F27" s="460"/>
      <c r="G27" s="460"/>
      <c r="H27" s="460"/>
      <c r="I27" s="460"/>
      <c r="J27" s="460"/>
      <c r="K27" s="460"/>
    </row>
    <row r="28" spans="1:19" x14ac:dyDescent="0.25">
      <c r="B28" s="460"/>
      <c r="C28" s="460"/>
      <c r="D28" s="460"/>
      <c r="E28" s="460"/>
      <c r="F28" s="460"/>
      <c r="G28" s="460"/>
      <c r="H28" s="460"/>
      <c r="I28" s="460"/>
      <c r="J28" s="460"/>
      <c r="K28" s="460"/>
    </row>
    <row r="29" spans="1:19" x14ac:dyDescent="0.25">
      <c r="B29" s="460"/>
      <c r="C29" s="460"/>
      <c r="D29" s="460"/>
      <c r="E29" s="460"/>
      <c r="F29" s="460"/>
      <c r="G29" s="460"/>
      <c r="H29" s="460"/>
      <c r="I29" s="460"/>
      <c r="J29" s="460"/>
      <c r="K29" s="460"/>
    </row>
    <row r="30" spans="1:19" x14ac:dyDescent="0.25">
      <c r="B30" s="460"/>
      <c r="C30" s="460"/>
      <c r="D30" s="460"/>
      <c r="E30" s="460"/>
      <c r="F30" s="460"/>
      <c r="G30" s="460"/>
      <c r="H30" s="460"/>
      <c r="I30" s="460"/>
      <c r="J30" s="460"/>
      <c r="K30" s="460"/>
    </row>
    <row r="31" spans="1:19" x14ac:dyDescent="0.25">
      <c r="B31" s="460"/>
      <c r="C31" s="460"/>
      <c r="D31" s="460"/>
      <c r="E31" s="460"/>
      <c r="F31" s="460"/>
      <c r="G31" s="460"/>
      <c r="H31" s="460"/>
      <c r="I31" s="460"/>
      <c r="J31" s="460"/>
      <c r="K31" s="460"/>
    </row>
    <row r="32" spans="1:19" x14ac:dyDescent="0.25">
      <c r="B32" s="460"/>
      <c r="C32" s="460"/>
      <c r="D32" s="460"/>
      <c r="E32" s="460"/>
      <c r="F32" s="460"/>
      <c r="G32" s="460"/>
      <c r="H32" s="460"/>
      <c r="I32" s="460"/>
      <c r="J32" s="460"/>
      <c r="K32" s="460"/>
    </row>
    <row r="33" spans="1:11" x14ac:dyDescent="0.25">
      <c r="B33" s="460"/>
      <c r="C33" s="460"/>
      <c r="D33" s="460"/>
      <c r="E33" s="460"/>
      <c r="F33" s="460"/>
      <c r="G33" s="460"/>
      <c r="H33" s="460"/>
      <c r="I33" s="460"/>
      <c r="J33" s="460"/>
      <c r="K33" s="460"/>
    </row>
    <row r="34" spans="1:11" x14ac:dyDescent="0.25"/>
    <row r="35" spans="1:11" x14ac:dyDescent="0.25">
      <c r="A35" s="62" t="s">
        <v>2712</v>
      </c>
    </row>
    <row r="36" spans="1:11" x14ac:dyDescent="0.25">
      <c r="B36" s="460"/>
      <c r="C36" s="460"/>
      <c r="D36" s="460"/>
      <c r="E36" s="460"/>
      <c r="F36" s="460"/>
      <c r="G36" s="460"/>
      <c r="H36" s="460"/>
      <c r="I36" s="460"/>
      <c r="J36" s="460"/>
      <c r="K36" s="460"/>
    </row>
    <row r="37" spans="1:11" x14ac:dyDescent="0.25">
      <c r="B37" s="460"/>
      <c r="C37" s="460"/>
      <c r="D37" s="460"/>
      <c r="E37" s="460"/>
      <c r="F37" s="460"/>
      <c r="G37" s="460"/>
      <c r="H37" s="460"/>
      <c r="I37" s="460"/>
      <c r="J37" s="460"/>
      <c r="K37" s="460"/>
    </row>
    <row r="38" spans="1:11" x14ac:dyDescent="0.25">
      <c r="B38" s="460"/>
      <c r="C38" s="460"/>
      <c r="D38" s="460"/>
      <c r="E38" s="460"/>
      <c r="F38" s="460"/>
      <c r="G38" s="460"/>
      <c r="H38" s="460"/>
      <c r="I38" s="460"/>
      <c r="J38" s="460"/>
      <c r="K38" s="460"/>
    </row>
    <row r="39" spans="1:11" x14ac:dyDescent="0.25">
      <c r="B39" s="460"/>
      <c r="C39" s="460"/>
      <c r="D39" s="460"/>
      <c r="E39" s="460"/>
      <c r="F39" s="460"/>
      <c r="G39" s="460"/>
      <c r="H39" s="460"/>
      <c r="I39" s="460"/>
      <c r="J39" s="460"/>
      <c r="K39" s="460"/>
    </row>
    <row r="40" spans="1:11" x14ac:dyDescent="0.25">
      <c r="B40" s="460"/>
      <c r="C40" s="460"/>
      <c r="D40" s="460"/>
      <c r="E40" s="460"/>
      <c r="F40" s="460"/>
      <c r="G40" s="460"/>
      <c r="H40" s="460"/>
      <c r="I40" s="460"/>
      <c r="J40" s="460"/>
      <c r="K40" s="460"/>
    </row>
    <row r="41" spans="1:11" x14ac:dyDescent="0.25">
      <c r="B41" s="460"/>
      <c r="C41" s="460"/>
      <c r="D41" s="460"/>
      <c r="E41" s="460"/>
      <c r="F41" s="460"/>
      <c r="G41" s="460"/>
      <c r="H41" s="460"/>
      <c r="I41" s="460"/>
      <c r="J41" s="460"/>
      <c r="K41" s="460"/>
    </row>
    <row r="42" spans="1:11" x14ac:dyDescent="0.25">
      <c r="B42" s="460"/>
      <c r="C42" s="460"/>
      <c r="D42" s="460"/>
      <c r="E42" s="460"/>
      <c r="F42" s="460"/>
      <c r="G42" s="460"/>
      <c r="H42" s="460"/>
      <c r="I42" s="460"/>
      <c r="J42" s="460"/>
      <c r="K42" s="460"/>
    </row>
    <row r="43" spans="1:11" x14ac:dyDescent="0.25">
      <c r="B43" s="460"/>
      <c r="C43" s="460"/>
      <c r="D43" s="460"/>
      <c r="E43" s="460"/>
      <c r="F43" s="460"/>
      <c r="G43" s="460"/>
      <c r="H43" s="460"/>
      <c r="I43" s="460"/>
      <c r="J43" s="460"/>
      <c r="K43" s="460"/>
    </row>
    <row r="44" spans="1:11" x14ac:dyDescent="0.25">
      <c r="B44" s="460"/>
      <c r="C44" s="460"/>
      <c r="D44" s="460"/>
      <c r="E44" s="460"/>
      <c r="F44" s="460"/>
      <c r="G44" s="460"/>
      <c r="H44" s="460"/>
      <c r="I44" s="460"/>
      <c r="J44" s="460"/>
      <c r="K44" s="460"/>
    </row>
    <row r="45" spans="1:11" x14ac:dyDescent="0.25">
      <c r="B45" s="460"/>
      <c r="C45" s="460"/>
      <c r="D45" s="460"/>
      <c r="E45" s="460"/>
      <c r="F45" s="460"/>
      <c r="G45" s="460"/>
      <c r="H45" s="460"/>
      <c r="I45" s="460"/>
      <c r="J45" s="460"/>
      <c r="K45" s="460"/>
    </row>
    <row r="46" spans="1:11" x14ac:dyDescent="0.25">
      <c r="B46" s="460"/>
      <c r="C46" s="460"/>
      <c r="D46" s="460"/>
      <c r="E46" s="460"/>
      <c r="F46" s="460"/>
      <c r="G46" s="460"/>
      <c r="H46" s="460"/>
      <c r="I46" s="460"/>
      <c r="J46" s="460"/>
      <c r="K46" s="460"/>
    </row>
    <row r="47" spans="1:11" x14ac:dyDescent="0.25">
      <c r="B47" s="460"/>
      <c r="C47" s="460"/>
      <c r="D47" s="460"/>
      <c r="E47" s="460"/>
      <c r="F47" s="460"/>
      <c r="G47" s="460"/>
      <c r="H47" s="460"/>
      <c r="I47" s="460"/>
      <c r="J47" s="460"/>
      <c r="K47" s="460"/>
    </row>
    <row r="48" spans="1:11" x14ac:dyDescent="0.25">
      <c r="B48" s="460"/>
      <c r="C48" s="460"/>
      <c r="D48" s="460"/>
      <c r="E48" s="460"/>
      <c r="F48" s="460"/>
      <c r="G48" s="460"/>
      <c r="H48" s="460"/>
      <c r="I48" s="460"/>
      <c r="J48" s="460"/>
      <c r="K48" s="460"/>
    </row>
    <row r="49" spans="1:11" x14ac:dyDescent="0.25"/>
    <row r="50" spans="1:11" x14ac:dyDescent="0.25"/>
    <row r="51" spans="1:11" x14ac:dyDescent="0.25"/>
    <row r="52" spans="1:11" x14ac:dyDescent="0.25"/>
    <row r="53" spans="1:11" x14ac:dyDescent="0.25"/>
    <row r="54" spans="1:11" x14ac:dyDescent="0.25">
      <c r="A54" s="104" t="s">
        <v>2713</v>
      </c>
    </row>
    <row r="55" spans="1:11" x14ac:dyDescent="0.25">
      <c r="B55" s="460"/>
      <c r="C55" s="460"/>
      <c r="D55" s="460"/>
      <c r="E55" s="460"/>
      <c r="F55" s="460"/>
      <c r="G55" s="460"/>
      <c r="H55" s="460"/>
      <c r="I55" s="460"/>
      <c r="J55" s="460"/>
      <c r="K55" s="460"/>
    </row>
    <row r="56" spans="1:11" x14ac:dyDescent="0.25">
      <c r="B56" s="460"/>
      <c r="C56" s="460"/>
      <c r="D56" s="460"/>
      <c r="E56" s="460"/>
      <c r="F56" s="460"/>
      <c r="G56" s="460"/>
      <c r="H56" s="460"/>
      <c r="I56" s="460"/>
      <c r="J56" s="460"/>
      <c r="K56" s="460"/>
    </row>
    <row r="57" spans="1:11" x14ac:dyDescent="0.25">
      <c r="B57" s="460"/>
      <c r="C57" s="460"/>
      <c r="D57" s="460"/>
      <c r="E57" s="460"/>
      <c r="F57" s="460"/>
      <c r="G57" s="460"/>
      <c r="H57" s="460"/>
      <c r="I57" s="460"/>
      <c r="J57" s="460"/>
      <c r="K57" s="460"/>
    </row>
    <row r="58" spans="1:11" x14ac:dyDescent="0.25">
      <c r="B58" s="460"/>
      <c r="C58" s="460"/>
      <c r="D58" s="460"/>
      <c r="E58" s="460"/>
      <c r="F58" s="460"/>
      <c r="G58" s="460"/>
      <c r="H58" s="460"/>
      <c r="I58" s="460"/>
      <c r="J58" s="460"/>
      <c r="K58" s="460"/>
    </row>
    <row r="59" spans="1:11" x14ac:dyDescent="0.25">
      <c r="B59" s="460"/>
      <c r="C59" s="460"/>
      <c r="D59" s="460"/>
      <c r="E59" s="460"/>
      <c r="F59" s="460"/>
      <c r="G59" s="460"/>
      <c r="H59" s="460"/>
      <c r="I59" s="460"/>
      <c r="J59" s="460"/>
      <c r="K59" s="460"/>
    </row>
    <row r="60" spans="1:11" x14ac:dyDescent="0.25">
      <c r="B60" s="460"/>
      <c r="C60" s="460"/>
      <c r="D60" s="460"/>
      <c r="E60" s="460"/>
      <c r="F60" s="460"/>
      <c r="G60" s="460"/>
      <c r="H60" s="460"/>
      <c r="I60" s="460"/>
      <c r="J60" s="460"/>
      <c r="K60" s="460"/>
    </row>
    <row r="61" spans="1:11" x14ac:dyDescent="0.25">
      <c r="B61" s="460"/>
      <c r="C61" s="460"/>
      <c r="D61" s="460"/>
      <c r="E61" s="460"/>
      <c r="F61" s="460"/>
      <c r="G61" s="460"/>
      <c r="H61" s="460"/>
      <c r="I61" s="460"/>
      <c r="J61" s="460"/>
      <c r="K61" s="460"/>
    </row>
    <row r="62" spans="1:11" x14ac:dyDescent="0.25">
      <c r="B62" s="460"/>
      <c r="C62" s="460"/>
      <c r="D62" s="460"/>
      <c r="E62" s="460"/>
      <c r="F62" s="460"/>
      <c r="G62" s="460"/>
      <c r="H62" s="460"/>
      <c r="I62" s="460"/>
      <c r="J62" s="460"/>
      <c r="K62" s="460"/>
    </row>
    <row r="63" spans="1:11" x14ac:dyDescent="0.25">
      <c r="B63" s="460"/>
      <c r="C63" s="460"/>
      <c r="D63" s="460"/>
      <c r="E63" s="460"/>
      <c r="F63" s="460"/>
      <c r="G63" s="460"/>
      <c r="H63" s="460"/>
      <c r="I63" s="460"/>
      <c r="J63" s="460"/>
      <c r="K63" s="460"/>
    </row>
    <row r="64" spans="1:11" x14ac:dyDescent="0.25">
      <c r="B64" s="460"/>
      <c r="C64" s="460"/>
      <c r="D64" s="460"/>
      <c r="E64" s="460"/>
      <c r="F64" s="460"/>
      <c r="G64" s="460"/>
      <c r="H64" s="460"/>
      <c r="I64" s="460"/>
      <c r="J64" s="460"/>
      <c r="K64" s="460"/>
    </row>
    <row r="65" spans="2:11" x14ac:dyDescent="0.25">
      <c r="B65" s="460"/>
      <c r="C65" s="460"/>
      <c r="D65" s="460"/>
      <c r="E65" s="460"/>
      <c r="F65" s="460"/>
      <c r="G65" s="460"/>
      <c r="H65" s="460"/>
      <c r="I65" s="460"/>
      <c r="J65" s="460"/>
      <c r="K65" s="460"/>
    </row>
    <row r="66" spans="2:11" x14ac:dyDescent="0.25">
      <c r="B66" s="460"/>
      <c r="C66" s="460"/>
      <c r="D66" s="460"/>
      <c r="E66" s="460"/>
      <c r="F66" s="460"/>
      <c r="G66" s="460"/>
      <c r="H66" s="460"/>
      <c r="I66" s="460"/>
      <c r="J66" s="460"/>
      <c r="K66" s="460"/>
    </row>
    <row r="67" spans="2:11" x14ac:dyDescent="0.25">
      <c r="B67" s="460"/>
      <c r="C67" s="460"/>
      <c r="D67" s="460"/>
      <c r="E67" s="460"/>
      <c r="F67" s="460"/>
      <c r="G67" s="460"/>
      <c r="H67" s="460"/>
      <c r="I67" s="460"/>
      <c r="J67" s="460"/>
      <c r="K67" s="460"/>
    </row>
    <row r="68" spans="2:11" x14ac:dyDescent="0.25">
      <c r="B68" s="460"/>
      <c r="C68" s="460"/>
      <c r="D68" s="460"/>
      <c r="E68" s="460"/>
      <c r="F68" s="460"/>
      <c r="G68" s="460"/>
      <c r="H68" s="460"/>
      <c r="I68" s="460"/>
      <c r="J68" s="460"/>
      <c r="K68" s="460"/>
    </row>
    <row r="69" spans="2:11" x14ac:dyDescent="0.25"/>
    <row r="70" spans="2:11" x14ac:dyDescent="0.25"/>
    <row r="71" spans="2:11" x14ac:dyDescent="0.25"/>
    <row r="72" spans="2:11" x14ac:dyDescent="0.25"/>
    <row r="73" spans="2:11" x14ac:dyDescent="0.25"/>
    <row r="74" spans="2:11" x14ac:dyDescent="0.25"/>
    <row r="75" spans="2:11" x14ac:dyDescent="0.25"/>
    <row r="76" spans="2:11" x14ac:dyDescent="0.25"/>
    <row r="77" spans="2:11" x14ac:dyDescent="0.25"/>
    <row r="78" spans="2:11" x14ac:dyDescent="0.25"/>
    <row r="79" spans="2:11" x14ac:dyDescent="0.25"/>
    <row r="80" spans="2: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6:6" x14ac:dyDescent="0.25"/>
    <row r="98" spans="6:6" x14ac:dyDescent="0.25"/>
    <row r="99" spans="6:6" x14ac:dyDescent="0.25"/>
    <row r="100" spans="6:6" x14ac:dyDescent="0.25"/>
    <row r="101" spans="6:6" x14ac:dyDescent="0.25"/>
    <row r="102" spans="6:6" x14ac:dyDescent="0.25"/>
    <row r="103" spans="6:6" x14ac:dyDescent="0.25"/>
    <row r="104" spans="6:6" hidden="1" x14ac:dyDescent="0.25"/>
    <row r="108" spans="6:6" hidden="1" x14ac:dyDescent="0.25">
      <c r="F108" s="62" t="s">
        <v>2714</v>
      </c>
    </row>
  </sheetData>
  <sheetProtection algorithmName="SHA-512" hashValue="OnSAo4QqNRcNS/2ABHeI9QkBk9Onw9VGLadv4SvCz6wo9XXlwbxNN/e766Cutuj0T0NCVvJiNGkxTy1vrWXSvA==" saltValue="I/v6Fg7QbxPWaxDYY7Yi/g=="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xr:uid="{00000000-0002-0000-1400-000000000000}">
      <formula1>$R$13</formula1>
    </dataValidation>
    <dataValidation type="list" allowBlank="1" showInputMessage="1" showErrorMessage="1" sqref="B8:B9" xr:uid="{00000000-0002-0000-1400-000001000000}">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O55"/>
  <sheetViews>
    <sheetView zoomScale="145" zoomScaleNormal="145" workbookViewId="0"/>
  </sheetViews>
  <sheetFormatPr defaultColWidth="9.28515625" defaultRowHeight="15" x14ac:dyDescent="0.25"/>
  <cols>
    <col min="1" max="12" width="9.28515625" style="120"/>
    <col min="13" max="13" width="15.7109375" style="120" bestFit="1" customWidth="1"/>
    <col min="14" max="14" width="0" style="120" hidden="1" customWidth="1"/>
    <col min="15" max="15" width="16.28515625" style="120" bestFit="1" customWidth="1"/>
    <col min="16" max="16384" width="9.28515625" style="120"/>
  </cols>
  <sheetData>
    <row r="1" spans="1:15" ht="15.75" x14ac:dyDescent="0.25">
      <c r="A1" s="70" t="s">
        <v>3617</v>
      </c>
    </row>
    <row r="3" spans="1:15" x14ac:dyDescent="0.25">
      <c r="A3" s="63" t="s">
        <v>1161</v>
      </c>
      <c r="B3" s="63" t="s">
        <v>1161</v>
      </c>
      <c r="C3" s="63"/>
      <c r="D3" s="63"/>
      <c r="E3" s="66"/>
      <c r="F3" s="63"/>
      <c r="G3" s="66"/>
      <c r="H3" s="63"/>
      <c r="I3" s="66"/>
      <c r="J3" s="63"/>
      <c r="K3" s="66"/>
      <c r="L3" s="66"/>
      <c r="M3" s="66" t="s">
        <v>3492</v>
      </c>
      <c r="O3" s="382" t="s">
        <v>3493</v>
      </c>
    </row>
    <row r="4" spans="1:15" x14ac:dyDescent="0.25">
      <c r="A4" s="63"/>
      <c r="B4" s="63" t="s">
        <v>1258</v>
      </c>
      <c r="C4" s="63"/>
      <c r="D4" s="63"/>
      <c r="E4" s="66"/>
      <c r="F4" s="63"/>
      <c r="G4" s="66"/>
      <c r="H4" s="63"/>
      <c r="I4" s="66"/>
      <c r="J4" s="63"/>
      <c r="K4" s="66"/>
      <c r="L4" s="66"/>
      <c r="M4" s="66"/>
      <c r="O4" s="379"/>
    </row>
    <row r="5" spans="1:15" x14ac:dyDescent="0.25">
      <c r="A5" s="64"/>
      <c r="B5" s="64"/>
      <c r="C5" s="64"/>
      <c r="D5" s="64"/>
      <c r="E5" s="67"/>
      <c r="F5" s="64"/>
      <c r="G5" s="67"/>
      <c r="H5" s="64"/>
      <c r="I5" s="67"/>
      <c r="J5" s="64"/>
      <c r="K5" s="67"/>
      <c r="L5" s="67"/>
      <c r="M5" s="67"/>
      <c r="O5" s="379"/>
    </row>
    <row r="6" spans="1:15" x14ac:dyDescent="0.25">
      <c r="A6" s="63" t="s">
        <v>1820</v>
      </c>
      <c r="B6" s="64"/>
      <c r="C6" s="64"/>
      <c r="D6" s="64"/>
      <c r="E6" s="67"/>
      <c r="F6" s="64"/>
      <c r="G6" s="67"/>
      <c r="H6" s="64"/>
      <c r="I6" s="67"/>
      <c r="J6" s="64"/>
      <c r="K6" s="67"/>
      <c r="L6" s="67"/>
      <c r="M6" s="67"/>
      <c r="O6" s="379"/>
    </row>
    <row r="7" spans="1:15" x14ac:dyDescent="0.25">
      <c r="A7" s="64" t="s">
        <v>1214</v>
      </c>
      <c r="B7" s="64">
        <v>750</v>
      </c>
      <c r="C7" s="64"/>
      <c r="D7" s="64"/>
      <c r="E7" s="67"/>
      <c r="F7" s="64"/>
      <c r="G7" s="67"/>
      <c r="H7" s="64"/>
      <c r="I7" s="67"/>
      <c r="J7" s="64"/>
      <c r="K7" s="67"/>
      <c r="L7" s="67"/>
      <c r="M7" s="67">
        <v>16003</v>
      </c>
      <c r="N7" s="120">
        <v>306.90684931506848</v>
      </c>
      <c r="O7" s="380">
        <v>306.90684931506848</v>
      </c>
    </row>
    <row r="8" spans="1:15" x14ac:dyDescent="0.25">
      <c r="A8" s="64" t="s">
        <v>1215</v>
      </c>
      <c r="B8" s="64">
        <v>751</v>
      </c>
      <c r="C8" s="64"/>
      <c r="D8" s="64"/>
      <c r="E8" s="67"/>
      <c r="F8" s="64"/>
      <c r="G8" s="67"/>
      <c r="H8" s="64"/>
      <c r="I8" s="67"/>
      <c r="J8" s="64"/>
      <c r="K8" s="67"/>
      <c r="L8" s="67"/>
      <c r="M8" s="67">
        <v>23205</v>
      </c>
      <c r="N8" s="120">
        <v>445.02739726027397</v>
      </c>
      <c r="O8" s="380">
        <v>445.02739726027397</v>
      </c>
    </row>
    <row r="9" spans="1:15" x14ac:dyDescent="0.25">
      <c r="A9" s="64" t="s">
        <v>1216</v>
      </c>
      <c r="B9" s="64">
        <v>752</v>
      </c>
      <c r="C9" s="64"/>
      <c r="D9" s="64"/>
      <c r="E9" s="67"/>
      <c r="F9" s="64"/>
      <c r="G9" s="67"/>
      <c r="H9" s="64"/>
      <c r="I9" s="67"/>
      <c r="J9" s="64"/>
      <c r="K9" s="67"/>
      <c r="L9" s="67"/>
      <c r="M9" s="67">
        <v>28247</v>
      </c>
      <c r="N9" s="120">
        <v>541.72328767123281</v>
      </c>
      <c r="O9" s="380">
        <v>541.72328767123281</v>
      </c>
    </row>
    <row r="10" spans="1:15" x14ac:dyDescent="0.25">
      <c r="A10" s="64" t="s">
        <v>1217</v>
      </c>
      <c r="B10" s="64">
        <v>753</v>
      </c>
      <c r="C10" s="64"/>
      <c r="D10" s="64"/>
      <c r="E10" s="67"/>
      <c r="F10" s="64"/>
      <c r="G10" s="67"/>
      <c r="H10" s="64"/>
      <c r="I10" s="67"/>
      <c r="J10" s="64"/>
      <c r="K10" s="67"/>
      <c r="L10" s="67"/>
      <c r="M10" s="67">
        <v>37848</v>
      </c>
      <c r="N10" s="120">
        <v>725.85205479452054</v>
      </c>
      <c r="O10" s="380">
        <v>725.85205479452054</v>
      </c>
    </row>
    <row r="11" spans="1:15" x14ac:dyDescent="0.25">
      <c r="A11" s="64" t="s">
        <v>1218</v>
      </c>
      <c r="B11" s="64">
        <v>754</v>
      </c>
      <c r="C11" s="64"/>
      <c r="D11" s="64"/>
      <c r="E11" s="67"/>
      <c r="F11" s="64"/>
      <c r="G11" s="67"/>
      <c r="H11" s="64"/>
      <c r="I11" s="67"/>
      <c r="J11" s="64"/>
      <c r="K11" s="67"/>
      <c r="L11" s="67"/>
      <c r="M11" s="67">
        <v>51351</v>
      </c>
      <c r="N11" s="120">
        <v>984.81369863013697</v>
      </c>
      <c r="O11" s="380">
        <v>984.81369863013697</v>
      </c>
    </row>
    <row r="12" spans="1:15" x14ac:dyDescent="0.25">
      <c r="A12" s="64" t="s">
        <v>1219</v>
      </c>
      <c r="B12" s="64">
        <v>755</v>
      </c>
      <c r="C12" s="64"/>
      <c r="D12" s="64"/>
      <c r="E12" s="67"/>
      <c r="F12" s="64"/>
      <c r="G12" s="67"/>
      <c r="H12" s="64"/>
      <c r="I12" s="67"/>
      <c r="J12" s="64"/>
      <c r="K12" s="67"/>
      <c r="L12" s="67"/>
      <c r="M12" s="67">
        <v>51351</v>
      </c>
      <c r="N12" s="120">
        <v>984.81369863013697</v>
      </c>
      <c r="O12" s="380">
        <v>984.81369863013697</v>
      </c>
    </row>
    <row r="13" spans="1:15" x14ac:dyDescent="0.25">
      <c r="A13" s="64" t="s">
        <v>1220</v>
      </c>
      <c r="B13" s="64">
        <v>756</v>
      </c>
      <c r="C13" s="64"/>
      <c r="D13" s="64"/>
      <c r="E13" s="67"/>
      <c r="F13" s="64"/>
      <c r="G13" s="67"/>
      <c r="H13" s="64"/>
      <c r="I13" s="67"/>
      <c r="J13" s="64"/>
      <c r="K13" s="67"/>
      <c r="L13" s="67"/>
      <c r="M13" s="67">
        <v>64324</v>
      </c>
      <c r="N13" s="120">
        <v>1233.6109589041096</v>
      </c>
      <c r="O13" s="380">
        <v>1233.6109589041096</v>
      </c>
    </row>
    <row r="14" spans="1:15" x14ac:dyDescent="0.25">
      <c r="A14" s="64" t="s">
        <v>1221</v>
      </c>
      <c r="B14" s="64">
        <v>757</v>
      </c>
      <c r="C14" s="64"/>
      <c r="D14" s="64"/>
      <c r="E14" s="67"/>
      <c r="F14" s="64"/>
      <c r="G14" s="67"/>
      <c r="H14" s="64"/>
      <c r="I14" s="67"/>
      <c r="J14" s="64"/>
      <c r="K14" s="67"/>
      <c r="L14" s="67"/>
      <c r="M14" s="67">
        <v>76770</v>
      </c>
      <c r="N14" s="120">
        <v>1472.3013698630136</v>
      </c>
      <c r="O14" s="380">
        <v>1472.3013698630136</v>
      </c>
    </row>
    <row r="15" spans="1:15" x14ac:dyDescent="0.25">
      <c r="A15" s="64" t="s">
        <v>1222</v>
      </c>
      <c r="B15" s="64">
        <v>191</v>
      </c>
      <c r="C15" s="64"/>
      <c r="D15" s="64"/>
      <c r="E15" s="67"/>
      <c r="F15" s="64"/>
      <c r="G15" s="67"/>
      <c r="H15" s="64"/>
      <c r="I15" s="67"/>
      <c r="J15" s="64"/>
      <c r="K15" s="67"/>
      <c r="L15" s="67"/>
      <c r="M15" s="67">
        <v>49229</v>
      </c>
      <c r="N15" s="120">
        <v>944.11780821917796</v>
      </c>
      <c r="O15" s="380">
        <v>944.11780821917796</v>
      </c>
    </row>
    <row r="16" spans="1:15" x14ac:dyDescent="0.25">
      <c r="A16" s="64" t="s">
        <v>1223</v>
      </c>
      <c r="B16" s="64">
        <v>759</v>
      </c>
      <c r="C16" s="64"/>
      <c r="D16" s="64"/>
      <c r="E16" s="67"/>
      <c r="F16" s="64"/>
      <c r="G16" s="67"/>
      <c r="H16" s="64"/>
      <c r="I16" s="67"/>
      <c r="J16" s="64"/>
      <c r="K16" s="67"/>
      <c r="L16" s="67"/>
      <c r="M16" s="67">
        <v>83631</v>
      </c>
      <c r="N16" s="120">
        <v>1603.882191780822</v>
      </c>
      <c r="O16" s="380">
        <v>1603.882191780822</v>
      </c>
    </row>
    <row r="17" spans="1:15" x14ac:dyDescent="0.25">
      <c r="A17" s="64" t="s">
        <v>1263</v>
      </c>
      <c r="B17" s="64">
        <v>860</v>
      </c>
      <c r="C17" s="64"/>
      <c r="D17" s="64"/>
      <c r="E17" s="67"/>
      <c r="F17" s="64"/>
      <c r="G17" s="67"/>
      <c r="H17" s="64"/>
      <c r="I17" s="67"/>
      <c r="J17" s="64"/>
      <c r="K17" s="67"/>
      <c r="L17" s="67"/>
      <c r="M17" s="67">
        <v>30587.608062555199</v>
      </c>
      <c r="O17" s="380">
        <v>586.61166147366134</v>
      </c>
    </row>
    <row r="18" spans="1:15" x14ac:dyDescent="0.25">
      <c r="A18" s="65" t="s">
        <v>1265</v>
      </c>
      <c r="B18" s="65">
        <v>862</v>
      </c>
      <c r="C18" s="65"/>
      <c r="D18" s="65"/>
      <c r="E18" s="68"/>
      <c r="F18" s="65"/>
      <c r="G18" s="68"/>
      <c r="H18" s="65"/>
      <c r="I18" s="68"/>
      <c r="J18" s="65"/>
      <c r="K18" s="68"/>
      <c r="L18" s="68"/>
      <c r="M18" s="433">
        <v>37093.608062555199</v>
      </c>
      <c r="O18" s="381">
        <v>711.38426421338738</v>
      </c>
    </row>
    <row r="19" spans="1:15" x14ac:dyDescent="0.25">
      <c r="A19" s="64" t="s">
        <v>1266</v>
      </c>
      <c r="B19" s="64">
        <v>864</v>
      </c>
      <c r="C19" s="64"/>
      <c r="D19" s="64"/>
      <c r="E19" s="67"/>
      <c r="F19" s="64"/>
      <c r="G19" s="67"/>
      <c r="H19" s="64"/>
      <c r="I19" s="67"/>
      <c r="J19" s="64"/>
      <c r="K19" s="67"/>
      <c r="L19" s="67"/>
      <c r="M19" s="67">
        <v>43559.608062555199</v>
      </c>
      <c r="O19" s="380">
        <v>835.38974366544221</v>
      </c>
    </row>
    <row r="20" spans="1:15" x14ac:dyDescent="0.25">
      <c r="A20" s="65" t="s">
        <v>1267</v>
      </c>
      <c r="B20" s="65">
        <v>766</v>
      </c>
      <c r="C20" s="65"/>
      <c r="D20" s="65"/>
      <c r="E20" s="68"/>
      <c r="F20" s="65"/>
      <c r="G20" s="68"/>
      <c r="H20" s="65"/>
      <c r="I20" s="68"/>
      <c r="J20" s="65"/>
      <c r="K20" s="68"/>
      <c r="L20" s="68"/>
      <c r="M20" s="433">
        <v>47234.608062555199</v>
      </c>
      <c r="O20" s="381">
        <v>905.8691957202368</v>
      </c>
    </row>
    <row r="21" spans="1:15" x14ac:dyDescent="0.25">
      <c r="A21" s="64" t="s">
        <v>1268</v>
      </c>
      <c r="B21" s="64">
        <v>768</v>
      </c>
      <c r="C21" s="64"/>
      <c r="D21" s="64"/>
      <c r="E21" s="67"/>
      <c r="F21" s="64"/>
      <c r="G21" s="67"/>
      <c r="H21" s="64"/>
      <c r="I21" s="67"/>
      <c r="J21" s="64"/>
      <c r="K21" s="67"/>
      <c r="L21" s="67"/>
      <c r="M21" s="67">
        <v>52629</v>
      </c>
      <c r="O21" s="380">
        <v>1009.3232876712329</v>
      </c>
    </row>
    <row r="22" spans="1:15" x14ac:dyDescent="0.25">
      <c r="A22" s="65" t="s">
        <v>1269</v>
      </c>
      <c r="B22" s="65">
        <v>770</v>
      </c>
      <c r="C22" s="65"/>
      <c r="D22" s="65"/>
      <c r="E22" s="68"/>
      <c r="F22" s="65"/>
      <c r="G22" s="68"/>
      <c r="H22" s="65"/>
      <c r="I22" s="68"/>
      <c r="J22" s="65"/>
      <c r="K22" s="68"/>
      <c r="L22" s="68"/>
      <c r="M22" s="433">
        <v>62801.608062555199</v>
      </c>
      <c r="O22" s="381">
        <v>1204.4144011996887</v>
      </c>
    </row>
    <row r="23" spans="1:15" x14ac:dyDescent="0.25">
      <c r="A23" s="64" t="s">
        <v>1270</v>
      </c>
      <c r="B23" s="64">
        <v>772</v>
      </c>
      <c r="C23" s="64"/>
      <c r="D23" s="64"/>
      <c r="E23" s="67"/>
      <c r="F23" s="64"/>
      <c r="G23" s="67"/>
      <c r="H23" s="64"/>
      <c r="I23" s="67"/>
      <c r="J23" s="64"/>
      <c r="K23" s="67"/>
      <c r="L23" s="67"/>
      <c r="M23" s="67">
        <v>74976</v>
      </c>
      <c r="O23" s="380">
        <v>1437.8958904109591</v>
      </c>
    </row>
    <row r="24" spans="1:15" x14ac:dyDescent="0.25">
      <c r="A24" s="64" t="s">
        <v>1238</v>
      </c>
      <c r="B24" s="64">
        <v>780</v>
      </c>
      <c r="C24" s="64"/>
      <c r="D24" s="64"/>
      <c r="E24" s="67"/>
      <c r="F24" s="64"/>
      <c r="G24" s="67"/>
      <c r="H24" s="64"/>
      <c r="I24" s="67"/>
      <c r="J24" s="64"/>
      <c r="K24" s="67"/>
      <c r="L24" s="67"/>
      <c r="M24" s="67">
        <v>29980</v>
      </c>
      <c r="O24" s="380">
        <v>574.95890410958896</v>
      </c>
    </row>
    <row r="25" spans="1:15" x14ac:dyDescent="0.25">
      <c r="A25" s="65" t="s">
        <v>1239</v>
      </c>
      <c r="B25" s="65">
        <v>781</v>
      </c>
      <c r="C25" s="65"/>
      <c r="D25" s="65"/>
      <c r="E25" s="68"/>
      <c r="F25" s="65"/>
      <c r="G25" s="68"/>
      <c r="H25" s="65"/>
      <c r="I25" s="68"/>
      <c r="J25" s="65"/>
      <c r="K25" s="68"/>
      <c r="L25" s="68"/>
      <c r="M25" s="433">
        <v>42953</v>
      </c>
      <c r="O25" s="381">
        <v>823.75616438356167</v>
      </c>
    </row>
    <row r="26" spans="1:15" x14ac:dyDescent="0.25">
      <c r="A26" s="64" t="s">
        <v>1240</v>
      </c>
      <c r="B26" s="64">
        <v>782</v>
      </c>
      <c r="C26" s="64"/>
      <c r="D26" s="64"/>
      <c r="E26" s="67"/>
      <c r="F26" s="64"/>
      <c r="G26" s="67"/>
      <c r="H26" s="64"/>
      <c r="I26" s="67"/>
      <c r="J26" s="64"/>
      <c r="K26" s="67"/>
      <c r="L26" s="67"/>
      <c r="M26" s="67">
        <v>51927</v>
      </c>
      <c r="O26" s="380">
        <v>995.86027397260273</v>
      </c>
    </row>
    <row r="27" spans="1:15" x14ac:dyDescent="0.25">
      <c r="A27" s="65" t="s">
        <v>1241</v>
      </c>
      <c r="B27" s="65">
        <v>783</v>
      </c>
      <c r="C27" s="65"/>
      <c r="D27" s="65"/>
      <c r="E27" s="68"/>
      <c r="F27" s="65"/>
      <c r="G27" s="68"/>
      <c r="H27" s="65"/>
      <c r="I27" s="68"/>
      <c r="J27" s="65"/>
      <c r="K27" s="68"/>
      <c r="L27" s="68"/>
      <c r="M27" s="433">
        <v>67368</v>
      </c>
      <c r="O27" s="381">
        <v>1291.9890410958906</v>
      </c>
    </row>
    <row r="28" spans="1:15" x14ac:dyDescent="0.25">
      <c r="A28" s="64" t="s">
        <v>1242</v>
      </c>
      <c r="B28" s="64">
        <v>784</v>
      </c>
      <c r="C28" s="64"/>
      <c r="D28" s="64"/>
      <c r="E28" s="67"/>
      <c r="F28" s="64"/>
      <c r="G28" s="67"/>
      <c r="H28" s="64"/>
      <c r="I28" s="67"/>
      <c r="J28" s="64"/>
      <c r="K28" s="67"/>
      <c r="L28" s="67"/>
      <c r="M28" s="67">
        <v>67368</v>
      </c>
      <c r="O28" s="380">
        <v>1291.9890410958906</v>
      </c>
    </row>
    <row r="29" spans="1:15" x14ac:dyDescent="0.25">
      <c r="A29" s="65" t="s">
        <v>1243</v>
      </c>
      <c r="B29" s="65">
        <v>790</v>
      </c>
      <c r="C29" s="65"/>
      <c r="D29" s="65"/>
      <c r="E29" s="68"/>
      <c r="F29" s="65"/>
      <c r="G29" s="68"/>
      <c r="H29" s="65"/>
      <c r="I29" s="68"/>
      <c r="J29" s="65"/>
      <c r="K29" s="68"/>
      <c r="L29" s="68"/>
      <c r="M29" s="433">
        <v>60587</v>
      </c>
      <c r="O29" s="381">
        <v>1161.9424657534246</v>
      </c>
    </row>
    <row r="30" spans="1:15" x14ac:dyDescent="0.25">
      <c r="A30" s="64" t="s">
        <v>1230</v>
      </c>
      <c r="B30" s="64">
        <v>800</v>
      </c>
      <c r="C30" s="64"/>
      <c r="D30" s="64"/>
      <c r="E30" s="67"/>
      <c r="F30" s="64"/>
      <c r="G30" s="67"/>
      <c r="H30" s="64"/>
      <c r="I30" s="67"/>
      <c r="J30" s="64"/>
      <c r="K30" s="67"/>
      <c r="L30" s="67"/>
      <c r="M30" s="67">
        <v>35459</v>
      </c>
      <c r="O30" s="380">
        <v>680.0356164383561</v>
      </c>
    </row>
    <row r="31" spans="1:15" x14ac:dyDescent="0.25">
      <c r="A31" s="65" t="s">
        <v>1231</v>
      </c>
      <c r="B31" s="65">
        <v>802</v>
      </c>
      <c r="C31" s="65"/>
      <c r="D31" s="65"/>
      <c r="E31" s="68"/>
      <c r="F31" s="65"/>
      <c r="G31" s="68"/>
      <c r="H31" s="65"/>
      <c r="I31" s="68"/>
      <c r="J31" s="65"/>
      <c r="K31" s="68"/>
      <c r="L31" s="68"/>
      <c r="M31" s="433">
        <v>41965</v>
      </c>
      <c r="O31" s="381">
        <v>804.80821917808225</v>
      </c>
    </row>
    <row r="32" spans="1:15" x14ac:dyDescent="0.25">
      <c r="A32" s="64" t="s">
        <v>1232</v>
      </c>
      <c r="B32" s="64">
        <v>804</v>
      </c>
      <c r="C32" s="64"/>
      <c r="D32" s="64"/>
      <c r="E32" s="67"/>
      <c r="F32" s="64"/>
      <c r="G32" s="67"/>
      <c r="H32" s="64"/>
      <c r="I32" s="67"/>
      <c r="J32" s="64"/>
      <c r="K32" s="67"/>
      <c r="L32" s="67"/>
      <c r="M32" s="67">
        <v>47835</v>
      </c>
      <c r="O32" s="380">
        <v>917.38356164383561</v>
      </c>
    </row>
    <row r="33" spans="1:15" x14ac:dyDescent="0.25">
      <c r="A33" s="65" t="s">
        <v>1233</v>
      </c>
      <c r="B33" s="65">
        <v>806</v>
      </c>
      <c r="C33" s="65"/>
      <c r="D33" s="65"/>
      <c r="E33" s="68"/>
      <c r="F33" s="65"/>
      <c r="G33" s="68"/>
      <c r="H33" s="65"/>
      <c r="I33" s="68"/>
      <c r="J33" s="65"/>
      <c r="K33" s="68"/>
      <c r="L33" s="68"/>
      <c r="M33" s="433">
        <v>52503</v>
      </c>
      <c r="O33" s="381">
        <v>1006.9068493150685</v>
      </c>
    </row>
    <row r="34" spans="1:15" x14ac:dyDescent="0.25">
      <c r="A34" s="64" t="s">
        <v>1234</v>
      </c>
      <c r="B34" s="64">
        <v>808</v>
      </c>
      <c r="C34" s="64"/>
      <c r="D34" s="64"/>
      <c r="E34" s="67"/>
      <c r="F34" s="64"/>
      <c r="G34" s="67"/>
      <c r="H34" s="64"/>
      <c r="I34" s="67"/>
      <c r="J34" s="64"/>
      <c r="K34" s="67"/>
      <c r="L34" s="67"/>
      <c r="M34" s="67">
        <v>66954</v>
      </c>
      <c r="O34" s="380">
        <v>1284.0493150684931</v>
      </c>
    </row>
    <row r="35" spans="1:15" x14ac:dyDescent="0.25">
      <c r="A35" s="65" t="s">
        <v>1235</v>
      </c>
      <c r="B35" s="65">
        <v>810</v>
      </c>
      <c r="C35" s="65"/>
      <c r="D35" s="65"/>
      <c r="E35" s="68"/>
      <c r="F35" s="65"/>
      <c r="G35" s="68"/>
      <c r="H35" s="65"/>
      <c r="I35" s="68"/>
      <c r="J35" s="65"/>
      <c r="K35" s="68"/>
      <c r="L35" s="68"/>
      <c r="M35" s="433">
        <v>62965</v>
      </c>
      <c r="O35" s="381">
        <v>1207.5479452054797</v>
      </c>
    </row>
    <row r="36" spans="1:15" x14ac:dyDescent="0.25">
      <c r="A36" s="64" t="s">
        <v>1236</v>
      </c>
      <c r="B36" s="64">
        <v>812</v>
      </c>
      <c r="C36" s="64"/>
      <c r="D36" s="64"/>
      <c r="E36" s="67"/>
      <c r="F36" s="64"/>
      <c r="G36" s="67"/>
      <c r="H36" s="64"/>
      <c r="I36" s="67"/>
      <c r="J36" s="64"/>
      <c r="K36" s="67"/>
      <c r="L36" s="67"/>
      <c r="M36" s="67">
        <v>83583</v>
      </c>
      <c r="O36" s="380">
        <v>1602.9616438356163</v>
      </c>
    </row>
    <row r="37" spans="1:15" x14ac:dyDescent="0.25">
      <c r="A37" s="65" t="s">
        <v>1237</v>
      </c>
      <c r="B37" s="65">
        <v>814</v>
      </c>
      <c r="C37" s="65"/>
      <c r="D37" s="65"/>
      <c r="E37" s="68"/>
      <c r="F37" s="65"/>
      <c r="G37" s="68"/>
      <c r="H37" s="65"/>
      <c r="I37" s="68"/>
      <c r="J37" s="65"/>
      <c r="K37" s="68"/>
      <c r="L37" s="68"/>
      <c r="M37" s="433">
        <v>73666</v>
      </c>
      <c r="O37" s="381">
        <v>1412.7726027397259</v>
      </c>
    </row>
    <row r="38" spans="1:15" x14ac:dyDescent="0.25">
      <c r="A38" s="64" t="s">
        <v>1198</v>
      </c>
      <c r="B38" s="64">
        <v>820</v>
      </c>
      <c r="C38" s="64"/>
      <c r="D38" s="64"/>
      <c r="E38" s="67"/>
      <c r="F38" s="64"/>
      <c r="G38" s="67"/>
      <c r="H38" s="64"/>
      <c r="I38" s="67"/>
      <c r="J38" s="64"/>
      <c r="K38" s="67"/>
      <c r="L38" s="67"/>
      <c r="M38" s="67">
        <v>46037</v>
      </c>
      <c r="O38" s="380">
        <v>882.90136986301377</v>
      </c>
    </row>
    <row r="39" spans="1:15" x14ac:dyDescent="0.25">
      <c r="A39" s="65" t="s">
        <v>1199</v>
      </c>
      <c r="B39" s="65">
        <v>822</v>
      </c>
      <c r="C39" s="65"/>
      <c r="D39" s="65"/>
      <c r="E39" s="68"/>
      <c r="F39" s="65"/>
      <c r="G39" s="68"/>
      <c r="H39" s="65"/>
      <c r="I39" s="68"/>
      <c r="J39" s="65"/>
      <c r="K39" s="68"/>
      <c r="L39" s="68"/>
      <c r="M39" s="433">
        <v>55011</v>
      </c>
      <c r="O39" s="381">
        <v>1055.0054794520547</v>
      </c>
    </row>
    <row r="40" spans="1:15" x14ac:dyDescent="0.25">
      <c r="A40" s="64" t="s">
        <v>1200</v>
      </c>
      <c r="B40" s="64">
        <v>824</v>
      </c>
      <c r="C40" s="64"/>
      <c r="D40" s="64"/>
      <c r="E40" s="67"/>
      <c r="F40" s="64"/>
      <c r="G40" s="67"/>
      <c r="H40" s="64"/>
      <c r="I40" s="67"/>
      <c r="J40" s="64"/>
      <c r="K40" s="67"/>
      <c r="L40" s="67"/>
      <c r="M40" s="67">
        <v>51182</v>
      </c>
      <c r="O40" s="380">
        <v>981.57260273972599</v>
      </c>
    </row>
    <row r="41" spans="1:15" x14ac:dyDescent="0.25">
      <c r="A41" s="65" t="s">
        <v>1201</v>
      </c>
      <c r="B41" s="65">
        <v>826</v>
      </c>
      <c r="C41" s="65"/>
      <c r="D41" s="65"/>
      <c r="E41" s="68"/>
      <c r="F41" s="65"/>
      <c r="G41" s="68"/>
      <c r="H41" s="65"/>
      <c r="I41" s="68"/>
      <c r="J41" s="65"/>
      <c r="K41" s="68"/>
      <c r="L41" s="68"/>
      <c r="M41" s="433">
        <v>55011</v>
      </c>
      <c r="O41" s="381">
        <v>1055.0054794520547</v>
      </c>
    </row>
    <row r="42" spans="1:15" x14ac:dyDescent="0.25">
      <c r="A42" s="64" t="s">
        <v>1202</v>
      </c>
      <c r="B42" s="64">
        <v>828</v>
      </c>
      <c r="C42" s="64"/>
      <c r="D42" s="64"/>
      <c r="E42" s="67"/>
      <c r="F42" s="64"/>
      <c r="G42" s="67"/>
      <c r="H42" s="64"/>
      <c r="I42" s="67"/>
      <c r="J42" s="64"/>
      <c r="K42" s="67"/>
      <c r="L42" s="67"/>
      <c r="M42" s="67">
        <v>65363</v>
      </c>
      <c r="O42" s="380">
        <v>1253.5369863013698</v>
      </c>
    </row>
    <row r="43" spans="1:15" x14ac:dyDescent="0.25">
      <c r="A43" s="65" t="s">
        <v>1203</v>
      </c>
      <c r="B43" s="65">
        <v>830</v>
      </c>
      <c r="C43" s="65"/>
      <c r="D43" s="65"/>
      <c r="E43" s="68"/>
      <c r="F43" s="65"/>
      <c r="G43" s="68"/>
      <c r="H43" s="65"/>
      <c r="I43" s="68"/>
      <c r="J43" s="65"/>
      <c r="K43" s="68"/>
      <c r="L43" s="68"/>
      <c r="M43" s="433">
        <v>71788</v>
      </c>
      <c r="O43" s="381">
        <v>1376.7561643835616</v>
      </c>
    </row>
    <row r="44" spans="1:15" x14ac:dyDescent="0.25">
      <c r="A44" s="64" t="s">
        <v>1204</v>
      </c>
      <c r="B44" s="64">
        <v>832</v>
      </c>
      <c r="C44" s="64"/>
      <c r="D44" s="64"/>
      <c r="E44" s="69"/>
      <c r="F44" s="64"/>
      <c r="G44" s="67"/>
      <c r="H44" s="64"/>
      <c r="I44" s="67"/>
      <c r="J44" s="64"/>
      <c r="K44" s="67"/>
      <c r="L44" s="67"/>
      <c r="M44" s="67">
        <v>75580</v>
      </c>
      <c r="O44" s="380">
        <v>1449.4794520547946</v>
      </c>
    </row>
    <row r="45" spans="1:15" x14ac:dyDescent="0.25">
      <c r="A45" s="65" t="s">
        <v>1209</v>
      </c>
      <c r="B45" s="65">
        <v>840</v>
      </c>
      <c r="C45" s="65"/>
      <c r="D45" s="65"/>
      <c r="E45" s="68"/>
      <c r="F45" s="65"/>
      <c r="G45" s="68"/>
      <c r="H45" s="65"/>
      <c r="I45" s="68"/>
      <c r="J45" s="65"/>
      <c r="K45" s="68"/>
      <c r="L45" s="68"/>
      <c r="M45" s="433">
        <v>38133</v>
      </c>
      <c r="O45" s="381">
        <v>731.317808219178</v>
      </c>
    </row>
    <row r="46" spans="1:15" x14ac:dyDescent="0.25">
      <c r="A46" s="64" t="s">
        <v>1210</v>
      </c>
      <c r="B46" s="64">
        <v>842</v>
      </c>
      <c r="C46" s="64"/>
      <c r="D46" s="64"/>
      <c r="E46" s="67"/>
      <c r="F46" s="64"/>
      <c r="G46" s="67"/>
      <c r="H46" s="64"/>
      <c r="I46" s="67"/>
      <c r="J46" s="64"/>
      <c r="K46" s="67"/>
      <c r="L46" s="67"/>
      <c r="M46" s="67">
        <v>48431</v>
      </c>
      <c r="O46" s="380">
        <v>928.81369863013697</v>
      </c>
    </row>
    <row r="47" spans="1:15" x14ac:dyDescent="0.25">
      <c r="A47" s="65" t="s">
        <v>1211</v>
      </c>
      <c r="B47" s="65">
        <v>844</v>
      </c>
      <c r="C47" s="65"/>
      <c r="D47" s="65"/>
      <c r="E47" s="68"/>
      <c r="F47" s="65"/>
      <c r="G47" s="68"/>
      <c r="H47" s="65"/>
      <c r="I47" s="68"/>
      <c r="J47" s="65"/>
      <c r="K47" s="68"/>
      <c r="L47" s="68"/>
      <c r="M47" s="433">
        <v>56700</v>
      </c>
      <c r="O47" s="381">
        <v>1087.3972602739725</v>
      </c>
    </row>
    <row r="48" spans="1:15" x14ac:dyDescent="0.25">
      <c r="A48" s="64" t="s">
        <v>1212</v>
      </c>
      <c r="B48" s="64">
        <v>846</v>
      </c>
      <c r="C48" s="64"/>
      <c r="D48" s="64"/>
      <c r="E48" s="67"/>
      <c r="F48" s="64"/>
      <c r="G48" s="67"/>
      <c r="H48" s="64"/>
      <c r="I48" s="67"/>
      <c r="J48" s="64"/>
      <c r="K48" s="67"/>
      <c r="L48" s="67"/>
      <c r="M48" s="67">
        <v>76733</v>
      </c>
      <c r="O48" s="380">
        <v>1471.5917808219178</v>
      </c>
    </row>
    <row r="49" spans="1:15" x14ac:dyDescent="0.25">
      <c r="A49" s="65" t="s">
        <v>1213</v>
      </c>
      <c r="B49" s="65">
        <v>848</v>
      </c>
      <c r="C49" s="65"/>
      <c r="D49" s="65"/>
      <c r="E49" s="68"/>
      <c r="F49" s="65"/>
      <c r="G49" s="68"/>
      <c r="H49" s="65"/>
      <c r="I49" s="68"/>
      <c r="J49" s="65"/>
      <c r="K49" s="68"/>
      <c r="L49" s="68"/>
      <c r="M49" s="433">
        <v>83240</v>
      </c>
      <c r="O49" s="381">
        <v>1596.3835616438355</v>
      </c>
    </row>
    <row r="50" spans="1:15" x14ac:dyDescent="0.25">
      <c r="A50" s="64" t="s">
        <v>1205</v>
      </c>
      <c r="B50" s="64">
        <v>850</v>
      </c>
      <c r="C50" s="64"/>
      <c r="D50" s="64"/>
      <c r="E50" s="67"/>
      <c r="F50" s="64"/>
      <c r="G50" s="67"/>
      <c r="H50" s="64"/>
      <c r="I50" s="67"/>
      <c r="J50" s="64"/>
      <c r="K50" s="67"/>
      <c r="L50" s="67"/>
      <c r="M50" s="67">
        <v>53188</v>
      </c>
      <c r="O50" s="380">
        <v>1020.0438356164384</v>
      </c>
    </row>
    <row r="51" spans="1:15" x14ac:dyDescent="0.25">
      <c r="A51" s="65" t="s">
        <v>1206</v>
      </c>
      <c r="B51" s="65">
        <v>852</v>
      </c>
      <c r="C51" s="65"/>
      <c r="D51" s="65"/>
      <c r="E51" s="68"/>
      <c r="F51" s="65"/>
      <c r="G51" s="68"/>
      <c r="H51" s="65"/>
      <c r="I51" s="68"/>
      <c r="J51" s="65"/>
      <c r="K51" s="68"/>
      <c r="L51" s="68"/>
      <c r="M51" s="433">
        <v>95456</v>
      </c>
      <c r="O51" s="381">
        <v>1830.66301369863</v>
      </c>
    </row>
    <row r="52" spans="1:15" x14ac:dyDescent="0.25">
      <c r="A52" s="64" t="s">
        <v>1207</v>
      </c>
      <c r="B52" s="64">
        <v>854</v>
      </c>
      <c r="C52" s="64"/>
      <c r="D52" s="64"/>
      <c r="E52" s="67"/>
      <c r="F52" s="64"/>
      <c r="G52" s="67"/>
      <c r="H52" s="64"/>
      <c r="I52" s="67"/>
      <c r="J52" s="64"/>
      <c r="K52" s="67"/>
      <c r="L52" s="67"/>
      <c r="M52" s="67">
        <v>113064</v>
      </c>
      <c r="O52" s="380">
        <v>2168.3506849315072</v>
      </c>
    </row>
    <row r="53" spans="1:15" x14ac:dyDescent="0.25">
      <c r="A53" s="65" t="s">
        <v>1208</v>
      </c>
      <c r="B53" s="65">
        <v>856</v>
      </c>
      <c r="C53" s="65"/>
      <c r="D53" s="65"/>
      <c r="E53" s="68"/>
      <c r="F53" s="65"/>
      <c r="G53" s="68"/>
      <c r="H53" s="65"/>
      <c r="I53" s="68"/>
      <c r="J53" s="65"/>
      <c r="K53" s="68"/>
      <c r="L53" s="68"/>
      <c r="M53" s="433">
        <v>71931</v>
      </c>
      <c r="O53" s="381">
        <v>1379.4986301369863</v>
      </c>
    </row>
    <row r="55" spans="1:15" x14ac:dyDescent="0.25">
      <c r="A55" s="71"/>
    </row>
  </sheetData>
  <sheetProtection algorithmName="SHA-512" hashValue="woPThSQmuu7U41z7TQYpnL1Y1BlZ2cdoT7ffgPJnepXIAZj/e/Ba0J3kf+rervCX9bUvUVdQCpUSOEIs9njqpg==" saltValue="pmKwPe4ovUzW1DmR0AMDKw==" spinCount="100000"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K730"/>
  <sheetViews>
    <sheetView topLeftCell="B1" workbookViewId="0">
      <selection activeCell="A12" sqref="A12"/>
    </sheetView>
  </sheetViews>
  <sheetFormatPr defaultColWidth="9.28515625" defaultRowHeight="15" x14ac:dyDescent="0.25"/>
  <cols>
    <col min="1" max="1" width="68.7109375" style="120" bestFit="1" customWidth="1"/>
    <col min="2" max="2" width="23.7109375" style="120" customWidth="1"/>
    <col min="3" max="4" width="10.28515625" style="120" bestFit="1" customWidth="1"/>
    <col min="5" max="5" width="8.28515625" style="120" bestFit="1" customWidth="1"/>
    <col min="6" max="16384" width="9.28515625" style="120"/>
  </cols>
  <sheetData>
    <row r="1" spans="1:5" s="100" customFormat="1" x14ac:dyDescent="0.25">
      <c r="A1" s="26" t="s">
        <v>3362</v>
      </c>
      <c r="B1" s="282" t="s">
        <v>13</v>
      </c>
      <c r="C1" s="41">
        <v>11.93</v>
      </c>
      <c r="D1" s="41"/>
      <c r="E1" s="417"/>
    </row>
    <row r="2" spans="1:5" s="100" customFormat="1" ht="15" customHeight="1" x14ac:dyDescent="0.25">
      <c r="A2" s="26" t="s">
        <v>1644</v>
      </c>
      <c r="B2" s="282" t="s">
        <v>26</v>
      </c>
      <c r="C2" s="41">
        <v>71.48</v>
      </c>
      <c r="D2" s="41"/>
      <c r="E2" s="417"/>
    </row>
    <row r="3" spans="1:5" s="100" customFormat="1" ht="15" customHeight="1" x14ac:dyDescent="0.25">
      <c r="A3" s="26" t="s">
        <v>3363</v>
      </c>
      <c r="B3" s="282" t="s">
        <v>44</v>
      </c>
      <c r="C3" s="41">
        <v>89.66</v>
      </c>
      <c r="D3" s="41"/>
      <c r="E3" s="417"/>
    </row>
    <row r="4" spans="1:5" s="100" customFormat="1" x14ac:dyDescent="0.25">
      <c r="A4" s="26" t="s">
        <v>3364</v>
      </c>
      <c r="B4" s="282" t="s">
        <v>28</v>
      </c>
      <c r="C4" s="41">
        <v>71.48</v>
      </c>
      <c r="D4" s="41"/>
      <c r="E4" s="417"/>
    </row>
    <row r="5" spans="1:5" s="100" customFormat="1" x14ac:dyDescent="0.25">
      <c r="A5" s="26" t="s">
        <v>3365</v>
      </c>
      <c r="B5" s="282" t="s">
        <v>1797</v>
      </c>
      <c r="C5" s="41">
        <v>32.39</v>
      </c>
      <c r="D5" s="41"/>
      <c r="E5" s="417"/>
    </row>
    <row r="6" spans="1:5" s="100" customFormat="1" x14ac:dyDescent="0.25">
      <c r="A6" s="26" t="s">
        <v>3366</v>
      </c>
      <c r="B6" s="282" t="s">
        <v>34</v>
      </c>
      <c r="C6" s="41">
        <v>71.48</v>
      </c>
      <c r="D6" s="41"/>
      <c r="E6" s="417"/>
    </row>
    <row r="7" spans="1:5" s="100" customFormat="1" x14ac:dyDescent="0.25">
      <c r="A7" s="26" t="s">
        <v>1648</v>
      </c>
      <c r="B7" s="282" t="s">
        <v>38</v>
      </c>
      <c r="C7" s="41">
        <v>54.96</v>
      </c>
      <c r="D7" s="41"/>
      <c r="E7" s="417"/>
    </row>
    <row r="8" spans="1:5" s="100" customFormat="1" x14ac:dyDescent="0.25">
      <c r="A8" s="26" t="s">
        <v>3367</v>
      </c>
      <c r="B8" s="282" t="s">
        <v>42</v>
      </c>
      <c r="C8" s="41">
        <v>58.87</v>
      </c>
      <c r="D8" s="41"/>
      <c r="E8" s="417"/>
    </row>
    <row r="9" spans="1:5" s="100" customFormat="1" x14ac:dyDescent="0.25">
      <c r="A9" s="26" t="s">
        <v>3368</v>
      </c>
      <c r="B9" s="282" t="s">
        <v>20</v>
      </c>
      <c r="C9" s="41">
        <v>76.569999999999993</v>
      </c>
      <c r="D9" s="41"/>
      <c r="E9" s="417"/>
    </row>
    <row r="10" spans="1:5" s="100" customFormat="1" x14ac:dyDescent="0.25">
      <c r="A10" s="26" t="s">
        <v>1665</v>
      </c>
      <c r="B10" s="282" t="s">
        <v>548</v>
      </c>
      <c r="C10" s="41">
        <v>51.68</v>
      </c>
      <c r="D10" s="41"/>
      <c r="E10" s="417"/>
    </row>
    <row r="11" spans="1:5" s="100" customFormat="1" x14ac:dyDescent="0.25">
      <c r="A11" s="26" t="s">
        <v>3369</v>
      </c>
      <c r="B11" s="282" t="s">
        <v>46</v>
      </c>
      <c r="C11" s="41">
        <v>54.96</v>
      </c>
      <c r="D11" s="41"/>
      <c r="E11" s="417"/>
    </row>
    <row r="12" spans="1:5" s="100" customFormat="1" x14ac:dyDescent="0.25">
      <c r="A12" s="26" t="s">
        <v>3370</v>
      </c>
      <c r="B12" s="282" t="s">
        <v>40</v>
      </c>
      <c r="C12" s="41">
        <v>54.96</v>
      </c>
      <c r="D12" s="41"/>
      <c r="E12" s="417"/>
    </row>
    <row r="13" spans="1:5" s="100" customFormat="1" x14ac:dyDescent="0.25">
      <c r="A13" s="26" t="s">
        <v>1736</v>
      </c>
      <c r="B13" s="282" t="s">
        <v>36</v>
      </c>
      <c r="C13" s="41">
        <v>65.930000000000007</v>
      </c>
      <c r="D13" s="41"/>
      <c r="E13" s="417"/>
    </row>
    <row r="14" spans="1:5" s="100" customFormat="1" x14ac:dyDescent="0.25">
      <c r="A14" s="26" t="s">
        <v>1653</v>
      </c>
      <c r="B14" s="282" t="s">
        <v>22</v>
      </c>
      <c r="C14" s="41">
        <v>98.2</v>
      </c>
      <c r="D14" s="41"/>
      <c r="E14" s="417"/>
    </row>
    <row r="15" spans="1:5" s="100" customFormat="1" x14ac:dyDescent="0.25">
      <c r="A15" s="26" t="s">
        <v>1737</v>
      </c>
      <c r="B15" s="282" t="s">
        <v>32</v>
      </c>
      <c r="C15" s="41">
        <v>105.29</v>
      </c>
      <c r="D15" s="41"/>
      <c r="E15" s="417"/>
    </row>
    <row r="16" spans="1:5" s="100" customFormat="1" x14ac:dyDescent="0.25">
      <c r="A16" s="26" t="s">
        <v>1666</v>
      </c>
      <c r="B16" s="282" t="s">
        <v>528</v>
      </c>
      <c r="C16" s="41">
        <v>97.16</v>
      </c>
      <c r="D16" s="41"/>
      <c r="E16" s="417"/>
    </row>
    <row r="17" spans="1:5" s="100" customFormat="1" x14ac:dyDescent="0.25">
      <c r="A17" s="26" t="s">
        <v>1652</v>
      </c>
      <c r="B17" s="282" t="s">
        <v>24</v>
      </c>
      <c r="C17" s="41">
        <v>61.56</v>
      </c>
      <c r="D17" s="41"/>
      <c r="E17" s="417"/>
    </row>
    <row r="18" spans="1:5" s="100" customFormat="1" x14ac:dyDescent="0.25">
      <c r="A18" s="26" t="s">
        <v>3371</v>
      </c>
      <c r="B18" s="282" t="s">
        <v>504</v>
      </c>
      <c r="C18" s="41">
        <v>109.32</v>
      </c>
      <c r="D18" s="41"/>
      <c r="E18" s="417"/>
    </row>
    <row r="19" spans="1:5" s="100" customFormat="1" x14ac:dyDescent="0.25">
      <c r="A19" s="26" t="s">
        <v>1655</v>
      </c>
      <c r="B19" s="282" t="s">
        <v>486</v>
      </c>
      <c r="C19" s="41">
        <v>134.36000000000001</v>
      </c>
      <c r="D19" s="41"/>
      <c r="E19" s="417"/>
    </row>
    <row r="20" spans="1:5" s="100" customFormat="1" x14ac:dyDescent="0.25">
      <c r="A20" s="26" t="s">
        <v>3372</v>
      </c>
      <c r="B20" s="282" t="s">
        <v>522</v>
      </c>
      <c r="C20" s="41">
        <v>91.29</v>
      </c>
      <c r="D20" s="41"/>
      <c r="E20" s="417"/>
    </row>
    <row r="21" spans="1:5" s="100" customFormat="1" x14ac:dyDescent="0.25">
      <c r="A21" s="26" t="s">
        <v>1657</v>
      </c>
      <c r="B21" s="282" t="s">
        <v>562</v>
      </c>
      <c r="C21" s="41">
        <v>116.36</v>
      </c>
      <c r="D21" s="41"/>
      <c r="E21" s="417"/>
    </row>
    <row r="22" spans="1:5" s="100" customFormat="1" x14ac:dyDescent="0.25">
      <c r="A22" s="26" t="s">
        <v>3373</v>
      </c>
      <c r="B22" s="282" t="s">
        <v>30</v>
      </c>
      <c r="C22" s="41">
        <v>61.56</v>
      </c>
      <c r="D22" s="41"/>
      <c r="E22" s="417"/>
    </row>
    <row r="23" spans="1:5" s="100" customFormat="1" x14ac:dyDescent="0.25">
      <c r="A23" s="26" t="s">
        <v>3374</v>
      </c>
      <c r="B23" s="282" t="s">
        <v>425</v>
      </c>
      <c r="C23" s="41">
        <v>29.57</v>
      </c>
      <c r="D23" s="41"/>
      <c r="E23" s="417"/>
    </row>
    <row r="24" spans="1:5" s="100" customFormat="1" x14ac:dyDescent="0.25">
      <c r="A24" s="26" t="s">
        <v>1670</v>
      </c>
      <c r="B24" s="282" t="s">
        <v>395</v>
      </c>
      <c r="C24" s="41">
        <v>127.83</v>
      </c>
      <c r="D24" s="41"/>
      <c r="E24" s="417"/>
    </row>
    <row r="25" spans="1:5" s="100" customFormat="1" x14ac:dyDescent="0.25">
      <c r="A25" s="26" t="s">
        <v>3375</v>
      </c>
      <c r="B25" s="282" t="s">
        <v>419</v>
      </c>
      <c r="C25" s="41">
        <v>127.83</v>
      </c>
      <c r="D25" s="41"/>
      <c r="E25" s="417"/>
    </row>
    <row r="26" spans="1:5" s="100" customFormat="1" x14ac:dyDescent="0.25">
      <c r="A26" s="26" t="s">
        <v>3376</v>
      </c>
      <c r="B26" s="282" t="s">
        <v>411</v>
      </c>
      <c r="C26" s="41">
        <v>127.83</v>
      </c>
      <c r="D26" s="41"/>
      <c r="E26" s="417"/>
    </row>
    <row r="27" spans="1:5" s="100" customFormat="1" x14ac:dyDescent="0.25">
      <c r="A27" s="26" t="s">
        <v>1661</v>
      </c>
      <c r="B27" s="282" t="s">
        <v>403</v>
      </c>
      <c r="C27" s="41">
        <v>126.07</v>
      </c>
      <c r="D27" s="41"/>
      <c r="E27" s="417"/>
    </row>
    <row r="28" spans="1:5" s="100" customFormat="1" x14ac:dyDescent="0.25">
      <c r="A28" s="26" t="s">
        <v>1662</v>
      </c>
      <c r="B28" s="282" t="s">
        <v>437</v>
      </c>
      <c r="C28" s="41">
        <v>89.55</v>
      </c>
      <c r="D28" s="41"/>
      <c r="E28" s="417"/>
    </row>
    <row r="29" spans="1:5" s="100" customFormat="1" x14ac:dyDescent="0.25">
      <c r="A29" s="26" t="s">
        <v>1663</v>
      </c>
      <c r="B29" s="282" t="s">
        <v>397</v>
      </c>
      <c r="C29" s="41">
        <v>132.69999999999999</v>
      </c>
      <c r="D29" s="41"/>
      <c r="E29" s="417"/>
    </row>
    <row r="30" spans="1:5" s="100" customFormat="1" x14ac:dyDescent="0.25">
      <c r="A30" s="26" t="s">
        <v>3377</v>
      </c>
      <c r="B30" s="282" t="s">
        <v>421</v>
      </c>
      <c r="C30" s="41">
        <v>144.87</v>
      </c>
      <c r="D30" s="41"/>
      <c r="E30" s="417"/>
    </row>
    <row r="31" spans="1:5" s="100" customFormat="1" x14ac:dyDescent="0.25">
      <c r="A31" s="26" t="s">
        <v>3378</v>
      </c>
      <c r="B31" s="282" t="s">
        <v>423</v>
      </c>
      <c r="C31" s="41">
        <v>128.44</v>
      </c>
      <c r="D31" s="41"/>
      <c r="E31" s="417"/>
    </row>
    <row r="32" spans="1:5" s="100" customFormat="1" x14ac:dyDescent="0.25">
      <c r="A32" s="26" t="s">
        <v>3379</v>
      </c>
      <c r="B32" s="282" t="s">
        <v>431</v>
      </c>
      <c r="C32" s="41">
        <v>115.32</v>
      </c>
      <c r="D32" s="41"/>
      <c r="E32" s="417"/>
    </row>
    <row r="33" spans="1:5" s="100" customFormat="1" x14ac:dyDescent="0.25">
      <c r="A33" s="26" t="s">
        <v>1739</v>
      </c>
      <c r="B33" s="282" t="s">
        <v>1733</v>
      </c>
      <c r="C33" s="41">
        <v>157.27000000000001</v>
      </c>
      <c r="D33" s="41"/>
      <c r="E33" s="417"/>
    </row>
    <row r="34" spans="1:5" s="100" customFormat="1" x14ac:dyDescent="0.25">
      <c r="A34" s="26" t="s">
        <v>1740</v>
      </c>
      <c r="B34" s="282" t="s">
        <v>1734</v>
      </c>
      <c r="C34" s="41">
        <v>157.27000000000001</v>
      </c>
      <c r="D34" s="41"/>
      <c r="E34" s="417"/>
    </row>
    <row r="35" spans="1:5" s="102" customFormat="1" x14ac:dyDescent="0.25">
      <c r="A35" s="26" t="s">
        <v>3380</v>
      </c>
      <c r="B35" s="282" t="s">
        <v>1847</v>
      </c>
      <c r="C35" s="41">
        <v>23.99</v>
      </c>
      <c r="D35" s="41"/>
      <c r="E35" s="417"/>
    </row>
    <row r="36" spans="1:5" s="100" customFormat="1" x14ac:dyDescent="0.25">
      <c r="A36" s="26" t="s">
        <v>1741</v>
      </c>
      <c r="B36" s="282" t="s">
        <v>7</v>
      </c>
      <c r="C36" s="41">
        <v>39.4</v>
      </c>
      <c r="D36" s="41"/>
      <c r="E36" s="417"/>
    </row>
    <row r="37" spans="1:5" s="100" customFormat="1" x14ac:dyDescent="0.25">
      <c r="A37" s="26" t="s">
        <v>1742</v>
      </c>
      <c r="B37" s="282" t="s">
        <v>490</v>
      </c>
      <c r="C37" s="41">
        <v>56.5</v>
      </c>
      <c r="D37" s="41"/>
      <c r="E37" s="417"/>
    </row>
    <row r="38" spans="1:5" s="100" customFormat="1" x14ac:dyDescent="0.25">
      <c r="A38" s="26" t="s">
        <v>3381</v>
      </c>
      <c r="B38" s="282" t="s">
        <v>520</v>
      </c>
      <c r="C38" s="41">
        <v>54.56</v>
      </c>
      <c r="D38" s="41"/>
      <c r="E38" s="417"/>
    </row>
    <row r="39" spans="1:5" s="100" customFormat="1" x14ac:dyDescent="0.25">
      <c r="A39" s="26" t="s">
        <v>1638</v>
      </c>
      <c r="B39" s="282" t="s">
        <v>427</v>
      </c>
      <c r="C39" s="41">
        <v>73.069999999999993</v>
      </c>
      <c r="D39" s="41"/>
      <c r="E39" s="417"/>
    </row>
    <row r="40" spans="1:5" s="100" customFormat="1" x14ac:dyDescent="0.25">
      <c r="A40" s="26" t="s">
        <v>3382</v>
      </c>
      <c r="B40" s="282" t="s">
        <v>435</v>
      </c>
      <c r="C40" s="41">
        <v>7.35</v>
      </c>
      <c r="D40" s="41"/>
      <c r="E40" s="417"/>
    </row>
    <row r="41" spans="1:5" s="100" customFormat="1" x14ac:dyDescent="0.25">
      <c r="A41" s="26" t="s">
        <v>3383</v>
      </c>
      <c r="B41" s="282" t="s">
        <v>500</v>
      </c>
      <c r="C41" s="41">
        <v>37.32</v>
      </c>
      <c r="D41" s="41"/>
      <c r="E41" s="417"/>
    </row>
    <row r="42" spans="1:5" s="100" customFormat="1" x14ac:dyDescent="0.25">
      <c r="A42" s="26" t="s">
        <v>3384</v>
      </c>
      <c r="B42" s="282" t="s">
        <v>524</v>
      </c>
      <c r="C42" s="41">
        <v>52.68</v>
      </c>
      <c r="D42" s="41"/>
      <c r="E42" s="417"/>
    </row>
    <row r="43" spans="1:5" s="100" customFormat="1" x14ac:dyDescent="0.25">
      <c r="A43" s="26" t="s">
        <v>3385</v>
      </c>
      <c r="B43" s="282" t="s">
        <v>546</v>
      </c>
      <c r="C43" s="41">
        <v>90.07</v>
      </c>
      <c r="D43" s="41"/>
      <c r="E43" s="417"/>
    </row>
    <row r="44" spans="1:5" s="100" customFormat="1" x14ac:dyDescent="0.25">
      <c r="A44" s="26" t="s">
        <v>3386</v>
      </c>
      <c r="B44" s="282" t="s">
        <v>550</v>
      </c>
      <c r="C44" s="41">
        <v>70.03</v>
      </c>
      <c r="D44" s="41"/>
      <c r="E44" s="417"/>
    </row>
    <row r="45" spans="1:5" s="100" customFormat="1" x14ac:dyDescent="0.25">
      <c r="A45" s="26" t="s">
        <v>3387</v>
      </c>
      <c r="B45" s="282" t="s">
        <v>502</v>
      </c>
      <c r="C45" s="41">
        <v>86.31</v>
      </c>
      <c r="D45" s="41"/>
      <c r="E45" s="417"/>
    </row>
    <row r="46" spans="1:5" s="100" customFormat="1" x14ac:dyDescent="0.25">
      <c r="A46" s="26" t="s">
        <v>3388</v>
      </c>
      <c r="B46" s="282" t="s">
        <v>536</v>
      </c>
      <c r="C46" s="41">
        <v>128.76</v>
      </c>
      <c r="D46" s="41"/>
      <c r="E46" s="417"/>
    </row>
    <row r="47" spans="1:5" s="100" customFormat="1" x14ac:dyDescent="0.25">
      <c r="A47" s="26" t="s">
        <v>3389</v>
      </c>
      <c r="B47" s="282" t="s">
        <v>399</v>
      </c>
      <c r="C47" s="41">
        <v>149.02000000000001</v>
      </c>
      <c r="D47" s="41"/>
      <c r="E47" s="417"/>
    </row>
    <row r="48" spans="1:5" s="100" customFormat="1" x14ac:dyDescent="0.25">
      <c r="A48" s="26" t="s">
        <v>3390</v>
      </c>
      <c r="B48" s="282" t="s">
        <v>556</v>
      </c>
      <c r="C48" s="41">
        <v>128.76</v>
      </c>
      <c r="D48" s="41"/>
      <c r="E48" s="417"/>
    </row>
    <row r="49" spans="1:5" s="100" customFormat="1" x14ac:dyDescent="0.25">
      <c r="A49" s="26" t="s">
        <v>3391</v>
      </c>
      <c r="B49" s="282" t="s">
        <v>409</v>
      </c>
      <c r="C49" s="41">
        <v>108.62</v>
      </c>
      <c r="D49" s="41"/>
      <c r="E49" s="417"/>
    </row>
    <row r="50" spans="1:5" s="100" customFormat="1" x14ac:dyDescent="0.25">
      <c r="A50" s="26" t="s">
        <v>3392</v>
      </c>
      <c r="B50" s="282" t="s">
        <v>392</v>
      </c>
      <c r="C50" s="41">
        <v>106.04</v>
      </c>
      <c r="D50" s="41"/>
      <c r="E50" s="417"/>
    </row>
    <row r="51" spans="1:5" s="100" customFormat="1" x14ac:dyDescent="0.25">
      <c r="A51" s="26" t="s">
        <v>3393</v>
      </c>
      <c r="B51" s="282" t="s">
        <v>390</v>
      </c>
      <c r="C51" s="41">
        <v>149.02000000000001</v>
      </c>
      <c r="D51" s="41"/>
      <c r="E51" s="417"/>
    </row>
    <row r="52" spans="1:5" s="100" customFormat="1" x14ac:dyDescent="0.25">
      <c r="A52" s="26" t="s">
        <v>3394</v>
      </c>
      <c r="B52" s="282" t="s">
        <v>401</v>
      </c>
      <c r="C52" s="41">
        <v>177.37</v>
      </c>
      <c r="D52" s="41"/>
      <c r="E52" s="417"/>
    </row>
    <row r="53" spans="1:5" s="100" customFormat="1" x14ac:dyDescent="0.25">
      <c r="A53" s="26" t="s">
        <v>3395</v>
      </c>
      <c r="B53" s="282" t="s">
        <v>540</v>
      </c>
      <c r="C53" s="41">
        <v>53.36</v>
      </c>
      <c r="D53" s="41"/>
      <c r="E53" s="417"/>
    </row>
    <row r="54" spans="1:5" s="100" customFormat="1" x14ac:dyDescent="0.25">
      <c r="A54" s="26" t="s">
        <v>3396</v>
      </c>
      <c r="B54" s="282" t="s">
        <v>492</v>
      </c>
      <c r="C54" s="41">
        <v>62.59</v>
      </c>
      <c r="D54" s="41"/>
      <c r="E54" s="417"/>
    </row>
    <row r="55" spans="1:5" s="100" customFormat="1" x14ac:dyDescent="0.25">
      <c r="A55" s="26" t="s">
        <v>3397</v>
      </c>
      <c r="B55" s="282" t="s">
        <v>518</v>
      </c>
      <c r="C55" s="41">
        <v>68.64</v>
      </c>
      <c r="D55" s="41"/>
      <c r="E55" s="417"/>
    </row>
    <row r="56" spans="1:5" s="100" customFormat="1" x14ac:dyDescent="0.25">
      <c r="A56" s="26" t="s">
        <v>3398</v>
      </c>
      <c r="B56" s="282" t="s">
        <v>560</v>
      </c>
      <c r="C56" s="41">
        <v>76.47</v>
      </c>
      <c r="D56" s="41"/>
      <c r="E56" s="417"/>
    </row>
    <row r="57" spans="1:5" s="100" customFormat="1" x14ac:dyDescent="0.25">
      <c r="A57" s="26" t="s">
        <v>3399</v>
      </c>
      <c r="B57" s="282" t="s">
        <v>510</v>
      </c>
      <c r="C57" s="41">
        <v>88.62</v>
      </c>
      <c r="D57" s="41"/>
      <c r="E57" s="417"/>
    </row>
    <row r="58" spans="1:5" s="100" customFormat="1" x14ac:dyDescent="0.25">
      <c r="A58" s="26" t="s">
        <v>3400</v>
      </c>
      <c r="B58" s="282" t="s">
        <v>554</v>
      </c>
      <c r="C58" s="41">
        <v>106.72</v>
      </c>
      <c r="D58" s="41"/>
      <c r="E58" s="417"/>
    </row>
    <row r="59" spans="1:5" s="100" customFormat="1" x14ac:dyDescent="0.25">
      <c r="A59" s="26" t="s">
        <v>3401</v>
      </c>
      <c r="B59" s="282" t="s">
        <v>405</v>
      </c>
      <c r="C59" s="41">
        <v>78.67</v>
      </c>
      <c r="D59" s="41"/>
      <c r="E59" s="417"/>
    </row>
    <row r="60" spans="1:5" s="100" customFormat="1" x14ac:dyDescent="0.25">
      <c r="A60" s="26" t="s">
        <v>3402</v>
      </c>
      <c r="B60" s="282" t="s">
        <v>417</v>
      </c>
      <c r="C60" s="41">
        <v>85.81</v>
      </c>
      <c r="D60" s="41"/>
      <c r="E60" s="417"/>
    </row>
    <row r="61" spans="1:5" s="100" customFormat="1" x14ac:dyDescent="0.25">
      <c r="A61" s="26" t="s">
        <v>3403</v>
      </c>
      <c r="B61" s="282" t="s">
        <v>407</v>
      </c>
      <c r="C61" s="41">
        <v>90.2</v>
      </c>
      <c r="D61" s="41"/>
      <c r="E61" s="417"/>
    </row>
    <row r="62" spans="1:5" s="100" customFormat="1" x14ac:dyDescent="0.25">
      <c r="A62" s="26" t="s">
        <v>3404</v>
      </c>
      <c r="B62" s="282" t="s">
        <v>542</v>
      </c>
      <c r="C62" s="41">
        <v>53.52</v>
      </c>
      <c r="D62" s="41"/>
      <c r="E62" s="417"/>
    </row>
    <row r="63" spans="1:5" s="100" customFormat="1" x14ac:dyDescent="0.25">
      <c r="A63" s="26" t="s">
        <v>3405</v>
      </c>
      <c r="B63" s="282" t="s">
        <v>532</v>
      </c>
      <c r="C63" s="41">
        <v>64.430000000000007</v>
      </c>
      <c r="D63" s="41"/>
      <c r="E63" s="417"/>
    </row>
    <row r="64" spans="1:5" s="100" customFormat="1" x14ac:dyDescent="0.25">
      <c r="A64" s="26" t="s">
        <v>3406</v>
      </c>
      <c r="B64" s="282" t="s">
        <v>498</v>
      </c>
      <c r="C64" s="41">
        <v>76.84</v>
      </c>
      <c r="D64" s="41"/>
      <c r="E64" s="417"/>
    </row>
    <row r="65" spans="1:11" s="100" customFormat="1" x14ac:dyDescent="0.25">
      <c r="A65" s="26" t="s">
        <v>3407</v>
      </c>
      <c r="B65" s="282" t="s">
        <v>530</v>
      </c>
      <c r="C65" s="41">
        <v>81.94</v>
      </c>
      <c r="D65" s="41"/>
      <c r="E65" s="417"/>
    </row>
    <row r="66" spans="1:11" s="100" customFormat="1" x14ac:dyDescent="0.25">
      <c r="A66" s="26" t="s">
        <v>3408</v>
      </c>
      <c r="B66" s="282" t="s">
        <v>516</v>
      </c>
      <c r="C66" s="41">
        <v>98.93</v>
      </c>
      <c r="D66" s="41"/>
      <c r="E66" s="417"/>
    </row>
    <row r="67" spans="1:11" s="100" customFormat="1" x14ac:dyDescent="0.25">
      <c r="A67" s="26" t="s">
        <v>3409</v>
      </c>
      <c r="B67" s="282" t="s">
        <v>494</v>
      </c>
      <c r="C67" s="41">
        <v>120.68</v>
      </c>
      <c r="D67" s="41"/>
      <c r="E67" s="417"/>
    </row>
    <row r="68" spans="1:11" s="100" customFormat="1" x14ac:dyDescent="0.25">
      <c r="A68" s="26" t="s">
        <v>3410</v>
      </c>
      <c r="B68" s="282" t="s">
        <v>512</v>
      </c>
      <c r="C68" s="41">
        <v>41.87</v>
      </c>
      <c r="D68" s="41"/>
      <c r="E68" s="417"/>
    </row>
    <row r="69" spans="1:11" s="100" customFormat="1" x14ac:dyDescent="0.25">
      <c r="A69" s="26" t="s">
        <v>3411</v>
      </c>
      <c r="B69" s="282" t="s">
        <v>534</v>
      </c>
      <c r="C69" s="41">
        <v>47.74</v>
      </c>
      <c r="D69" s="41"/>
      <c r="E69" s="417"/>
    </row>
    <row r="70" spans="1:11" s="100" customFormat="1" x14ac:dyDescent="0.25">
      <c r="A70" s="26" t="s">
        <v>3412</v>
      </c>
      <c r="B70" s="282" t="s">
        <v>526</v>
      </c>
      <c r="C70" s="41">
        <v>52.13</v>
      </c>
      <c r="D70" s="41"/>
      <c r="E70" s="417"/>
    </row>
    <row r="71" spans="1:11" s="100" customFormat="1" x14ac:dyDescent="0.25">
      <c r="A71" s="26" t="s">
        <v>3413</v>
      </c>
      <c r="B71" s="282" t="s">
        <v>506</v>
      </c>
      <c r="C71" s="41">
        <v>69.02</v>
      </c>
      <c r="D71" s="41"/>
      <c r="E71" s="417"/>
    </row>
    <row r="72" spans="1:11" s="100" customFormat="1" x14ac:dyDescent="0.25">
      <c r="A72" s="26" t="s">
        <v>3414</v>
      </c>
      <c r="B72" s="282" t="s">
        <v>538</v>
      </c>
      <c r="C72" s="41">
        <v>79.97</v>
      </c>
      <c r="D72" s="41"/>
      <c r="E72" s="417"/>
    </row>
    <row r="73" spans="1:11" s="100" customFormat="1" x14ac:dyDescent="0.25">
      <c r="A73" s="26" t="s">
        <v>3415</v>
      </c>
      <c r="B73" s="282" t="s">
        <v>496</v>
      </c>
      <c r="C73" s="41">
        <v>98.13</v>
      </c>
      <c r="D73" s="41"/>
      <c r="E73" s="417"/>
    </row>
    <row r="74" spans="1:11" s="100" customFormat="1" x14ac:dyDescent="0.25">
      <c r="A74" s="26" t="s">
        <v>3416</v>
      </c>
      <c r="B74" s="282" t="s">
        <v>415</v>
      </c>
      <c r="C74" s="41">
        <v>139.54</v>
      </c>
      <c r="D74" s="41"/>
      <c r="E74" s="417"/>
    </row>
    <row r="75" spans="1:11" s="100" customFormat="1" x14ac:dyDescent="0.25">
      <c r="A75" s="26" t="s">
        <v>3556</v>
      </c>
      <c r="B75" s="282" t="s">
        <v>3546</v>
      </c>
      <c r="C75" s="41">
        <v>11.97</v>
      </c>
      <c r="D75" s="41"/>
    </row>
    <row r="76" spans="1:11" s="100" customFormat="1" x14ac:dyDescent="0.25">
      <c r="A76" s="26" t="s">
        <v>3557</v>
      </c>
      <c r="B76" s="282" t="s">
        <v>3548</v>
      </c>
      <c r="C76" s="41">
        <v>16.91</v>
      </c>
      <c r="D76" s="41"/>
    </row>
    <row r="77" spans="1:11" s="100" customFormat="1" x14ac:dyDescent="0.25">
      <c r="A77" s="26" t="s">
        <v>3558</v>
      </c>
      <c r="B77" s="282" t="s">
        <v>3550</v>
      </c>
      <c r="C77" s="41">
        <v>26.79</v>
      </c>
      <c r="D77" s="41"/>
    </row>
    <row r="78" spans="1:11" s="100" customFormat="1" x14ac:dyDescent="0.25">
      <c r="A78" s="26" t="s">
        <v>3559</v>
      </c>
      <c r="B78" s="282" t="s">
        <v>3552</v>
      </c>
      <c r="C78" s="41">
        <v>46.04</v>
      </c>
      <c r="D78" s="41"/>
    </row>
    <row r="79" spans="1:11" s="100" customFormat="1" x14ac:dyDescent="0.25">
      <c r="A79" s="26" t="s">
        <v>3560</v>
      </c>
      <c r="B79" s="282" t="s">
        <v>3554</v>
      </c>
      <c r="C79" s="41">
        <v>66.069999999999993</v>
      </c>
      <c r="D79" s="41"/>
    </row>
    <row r="80" spans="1:11" s="100" customFormat="1" x14ac:dyDescent="0.25">
      <c r="A80" s="420" t="s">
        <v>1800</v>
      </c>
      <c r="B80" s="421" t="s">
        <v>2553</v>
      </c>
      <c r="C80" s="422">
        <v>272.67</v>
      </c>
      <c r="D80" s="422"/>
      <c r="E80" s="102" t="s">
        <v>3505</v>
      </c>
      <c r="F80" s="423">
        <v>320.12</v>
      </c>
      <c r="G80" s="102" t="s">
        <v>3506</v>
      </c>
      <c r="H80" s="102"/>
      <c r="I80" s="102"/>
      <c r="J80" s="374"/>
      <c r="K80" s="418"/>
    </row>
    <row r="81" spans="1:11" s="100" customFormat="1" x14ac:dyDescent="0.25">
      <c r="A81" s="420" t="s">
        <v>1801</v>
      </c>
      <c r="B81" s="421" t="s">
        <v>2557</v>
      </c>
      <c r="C81" s="422">
        <v>264.11</v>
      </c>
      <c r="D81" s="422"/>
      <c r="E81" s="102" t="s">
        <v>3505</v>
      </c>
      <c r="F81" s="423">
        <v>311.56</v>
      </c>
      <c r="G81" s="102" t="s">
        <v>3506</v>
      </c>
      <c r="H81" s="102"/>
      <c r="I81" s="102"/>
      <c r="J81" s="374"/>
      <c r="K81" s="418"/>
    </row>
    <row r="82" spans="1:11" s="100" customFormat="1" x14ac:dyDescent="0.25">
      <c r="A82" s="420" t="s">
        <v>1802</v>
      </c>
      <c r="B82" s="421" t="s">
        <v>2561</v>
      </c>
      <c r="C82" s="422">
        <v>384.05</v>
      </c>
      <c r="D82" s="422"/>
      <c r="E82" s="102" t="s">
        <v>3505</v>
      </c>
      <c r="F82" s="423">
        <v>435.16</v>
      </c>
      <c r="G82" s="102" t="s">
        <v>3506</v>
      </c>
      <c r="H82" s="102"/>
      <c r="I82" s="102"/>
      <c r="J82" s="374"/>
      <c r="K82" s="418"/>
    </row>
    <row r="83" spans="1:11" s="100" customFormat="1" x14ac:dyDescent="0.25">
      <c r="A83" s="420" t="s">
        <v>1803</v>
      </c>
      <c r="B83" s="421" t="s">
        <v>2565</v>
      </c>
      <c r="C83" s="422">
        <v>215.37</v>
      </c>
      <c r="D83" s="422"/>
      <c r="E83" s="102" t="s">
        <v>3505</v>
      </c>
      <c r="F83" s="423">
        <v>257.91000000000003</v>
      </c>
      <c r="G83" s="102" t="s">
        <v>3506</v>
      </c>
      <c r="H83" s="102"/>
      <c r="I83" s="102"/>
      <c r="J83" s="374"/>
      <c r="K83" s="418"/>
    </row>
    <row r="84" spans="1:11" s="100" customFormat="1" x14ac:dyDescent="0.25">
      <c r="A84" s="420" t="s">
        <v>1799</v>
      </c>
      <c r="B84" s="421" t="s">
        <v>2549</v>
      </c>
      <c r="C84" s="422">
        <v>238.28</v>
      </c>
      <c r="D84" s="422"/>
      <c r="E84" s="102" t="s">
        <v>3505</v>
      </c>
      <c r="F84" s="423">
        <v>285.73</v>
      </c>
      <c r="G84" s="102" t="s">
        <v>3506</v>
      </c>
      <c r="H84" s="102"/>
      <c r="I84" s="102"/>
      <c r="J84" s="374"/>
      <c r="K84" s="418"/>
    </row>
    <row r="85" spans="1:11" s="100" customFormat="1" x14ac:dyDescent="0.25">
      <c r="A85" s="282"/>
      <c r="B85" s="120"/>
      <c r="C85" s="101"/>
      <c r="D85" s="101"/>
      <c r="E85" s="282"/>
    </row>
    <row r="86" spans="1:11" x14ac:dyDescent="0.25">
      <c r="B86" s="282"/>
      <c r="D86" s="122"/>
      <c r="E86" s="122"/>
      <c r="F86" s="122"/>
      <c r="G86" s="374"/>
      <c r="H86" s="374"/>
    </row>
    <row r="87" spans="1:11" x14ac:dyDescent="0.25">
      <c r="B87" s="282"/>
      <c r="D87" s="122"/>
      <c r="E87" s="122"/>
      <c r="F87" s="122"/>
      <c r="G87" s="374"/>
      <c r="H87" s="374"/>
    </row>
    <row r="88" spans="1:11" x14ac:dyDescent="0.25">
      <c r="B88" s="282"/>
      <c r="D88" s="122"/>
      <c r="E88" s="122"/>
      <c r="F88" s="122"/>
      <c r="G88" s="374"/>
      <c r="H88" s="374"/>
    </row>
    <row r="89" spans="1:11" x14ac:dyDescent="0.25">
      <c r="B89" s="282"/>
      <c r="D89" s="122"/>
      <c r="E89" s="122"/>
      <c r="F89" s="122"/>
      <c r="G89" s="374"/>
      <c r="H89" s="374"/>
    </row>
    <row r="90" spans="1:11" x14ac:dyDescent="0.25">
      <c r="B90" s="282"/>
      <c r="D90" s="122"/>
      <c r="E90" s="122"/>
      <c r="F90" s="122"/>
      <c r="G90" s="374"/>
      <c r="H90" s="374"/>
    </row>
    <row r="91" spans="1:11" s="100" customFormat="1" x14ac:dyDescent="0.25">
      <c r="C91" s="101"/>
      <c r="D91" s="101"/>
      <c r="E91" s="282"/>
    </row>
    <row r="92" spans="1:11" s="100" customFormat="1" x14ac:dyDescent="0.25">
      <c r="C92" s="101"/>
      <c r="D92" s="101"/>
      <c r="E92" s="282"/>
    </row>
    <row r="93" spans="1:11" s="100" customFormat="1" x14ac:dyDescent="0.25">
      <c r="C93" s="101"/>
      <c r="D93" s="101"/>
      <c r="E93" s="282"/>
    </row>
    <row r="94" spans="1:11" s="100" customFormat="1" x14ac:dyDescent="0.25">
      <c r="C94" s="101"/>
      <c r="D94" s="101"/>
      <c r="E94" s="282"/>
    </row>
    <row r="95" spans="1:11" s="100" customFormat="1" x14ac:dyDescent="0.25">
      <c r="C95" s="101"/>
      <c r="D95" s="101"/>
      <c r="E95" s="282"/>
    </row>
    <row r="96" spans="1:11" s="100" customFormat="1" x14ac:dyDescent="0.25">
      <c r="C96" s="101"/>
      <c r="D96" s="101"/>
      <c r="E96" s="282"/>
    </row>
    <row r="97" spans="3:5" s="100" customFormat="1" x14ac:dyDescent="0.25">
      <c r="C97" s="101"/>
      <c r="D97" s="101"/>
      <c r="E97" s="282"/>
    </row>
    <row r="98" spans="3:5" s="100" customFormat="1" x14ac:dyDescent="0.25">
      <c r="C98" s="101"/>
      <c r="D98" s="101"/>
      <c r="E98" s="282"/>
    </row>
    <row r="99" spans="3:5" s="100" customFormat="1" x14ac:dyDescent="0.25">
      <c r="C99" s="101"/>
      <c r="D99" s="101"/>
      <c r="E99" s="282"/>
    </row>
    <row r="100" spans="3:5" s="100" customFormat="1" x14ac:dyDescent="0.25">
      <c r="C100" s="101"/>
      <c r="D100" s="101"/>
      <c r="E100" s="282"/>
    </row>
    <row r="101" spans="3:5" s="100" customFormat="1" x14ac:dyDescent="0.25">
      <c r="C101" s="101"/>
      <c r="D101" s="101"/>
      <c r="E101" s="282"/>
    </row>
    <row r="102" spans="3:5" s="100" customFormat="1" x14ac:dyDescent="0.25">
      <c r="C102" s="101"/>
      <c r="D102" s="101"/>
      <c r="E102" s="282"/>
    </row>
    <row r="103" spans="3:5" s="100" customFormat="1" x14ac:dyDescent="0.25">
      <c r="C103" s="101"/>
      <c r="D103" s="101"/>
      <c r="E103" s="282"/>
    </row>
    <row r="104" spans="3:5" s="100" customFormat="1" x14ac:dyDescent="0.25">
      <c r="C104" s="101"/>
      <c r="D104" s="101"/>
      <c r="E104" s="282"/>
    </row>
    <row r="105" spans="3:5" s="100" customFormat="1" x14ac:dyDescent="0.25">
      <c r="C105" s="101"/>
      <c r="D105" s="101"/>
      <c r="E105" s="282"/>
    </row>
    <row r="106" spans="3:5" s="100" customFormat="1" x14ac:dyDescent="0.25">
      <c r="C106" s="101"/>
      <c r="D106" s="101"/>
      <c r="E106" s="282"/>
    </row>
    <row r="107" spans="3:5" s="100" customFormat="1" x14ac:dyDescent="0.25">
      <c r="C107" s="101"/>
      <c r="D107" s="101"/>
      <c r="E107" s="282"/>
    </row>
    <row r="108" spans="3:5" s="100" customFormat="1" x14ac:dyDescent="0.25">
      <c r="C108" s="101"/>
      <c r="D108" s="101"/>
      <c r="E108" s="282"/>
    </row>
    <row r="109" spans="3:5" s="100" customFormat="1" x14ac:dyDescent="0.25">
      <c r="C109" s="101"/>
      <c r="D109" s="101"/>
      <c r="E109" s="282"/>
    </row>
    <row r="110" spans="3:5" s="100" customFormat="1" x14ac:dyDescent="0.25">
      <c r="C110" s="101"/>
      <c r="D110" s="101"/>
      <c r="E110" s="282"/>
    </row>
    <row r="111" spans="3:5" s="100" customFormat="1" x14ac:dyDescent="0.25">
      <c r="C111" s="101"/>
      <c r="D111" s="101"/>
      <c r="E111" s="282"/>
    </row>
    <row r="112" spans="3:5" s="100" customFormat="1" x14ac:dyDescent="0.25">
      <c r="C112" s="101"/>
      <c r="D112" s="101"/>
      <c r="E112" s="282"/>
    </row>
    <row r="113" spans="3:5" s="100" customFormat="1" x14ac:dyDescent="0.25">
      <c r="C113" s="101"/>
      <c r="D113" s="101"/>
      <c r="E113" s="282"/>
    </row>
    <row r="114" spans="3:5" s="100" customFormat="1" x14ac:dyDescent="0.25">
      <c r="C114" s="101"/>
      <c r="D114" s="101"/>
      <c r="E114" s="282"/>
    </row>
    <row r="115" spans="3:5" s="100" customFormat="1" x14ac:dyDescent="0.25">
      <c r="C115" s="101"/>
      <c r="D115" s="101"/>
      <c r="E115" s="282"/>
    </row>
    <row r="116" spans="3:5" s="100" customFormat="1" x14ac:dyDescent="0.25">
      <c r="C116" s="101"/>
      <c r="D116" s="101"/>
      <c r="E116" s="282"/>
    </row>
    <row r="117" spans="3:5" s="100" customFormat="1" x14ac:dyDescent="0.25">
      <c r="C117" s="101"/>
      <c r="D117" s="101"/>
      <c r="E117" s="282"/>
    </row>
    <row r="118" spans="3:5" s="100" customFormat="1" x14ac:dyDescent="0.25">
      <c r="C118" s="101"/>
      <c r="D118" s="101"/>
      <c r="E118" s="282"/>
    </row>
    <row r="119" spans="3:5" s="100" customFormat="1" x14ac:dyDescent="0.25">
      <c r="C119" s="101"/>
      <c r="D119" s="101"/>
      <c r="E119" s="282"/>
    </row>
    <row r="120" spans="3:5" s="100" customFormat="1" x14ac:dyDescent="0.25">
      <c r="C120" s="101"/>
      <c r="D120" s="101"/>
      <c r="E120" s="282"/>
    </row>
    <row r="121" spans="3:5" s="100" customFormat="1" x14ac:dyDescent="0.25">
      <c r="C121" s="101"/>
      <c r="D121" s="101"/>
      <c r="E121" s="282"/>
    </row>
    <row r="122" spans="3:5" s="100" customFormat="1" x14ac:dyDescent="0.25">
      <c r="C122" s="101"/>
      <c r="D122" s="101"/>
      <c r="E122" s="282"/>
    </row>
    <row r="123" spans="3:5" s="100" customFormat="1" x14ac:dyDescent="0.25">
      <c r="C123" s="101"/>
      <c r="D123" s="101"/>
      <c r="E123" s="282"/>
    </row>
    <row r="124" spans="3:5" s="100" customFormat="1" x14ac:dyDescent="0.25">
      <c r="C124" s="101"/>
      <c r="D124" s="101"/>
      <c r="E124" s="282"/>
    </row>
    <row r="125" spans="3:5" s="100" customFormat="1" x14ac:dyDescent="0.25">
      <c r="C125" s="101"/>
      <c r="D125" s="101"/>
      <c r="E125" s="282"/>
    </row>
    <row r="126" spans="3:5" s="100" customFormat="1" x14ac:dyDescent="0.25">
      <c r="C126" s="101"/>
      <c r="D126" s="101"/>
      <c r="E126" s="282"/>
    </row>
    <row r="127" spans="3:5" s="100" customFormat="1" x14ac:dyDescent="0.25">
      <c r="C127" s="101"/>
      <c r="D127" s="101"/>
      <c r="E127" s="282"/>
    </row>
    <row r="128" spans="3:5" s="100" customFormat="1" x14ac:dyDescent="0.25">
      <c r="C128" s="101"/>
      <c r="D128" s="101"/>
      <c r="E128" s="282"/>
    </row>
    <row r="129" spans="1:5" s="100" customFormat="1" x14ac:dyDescent="0.25">
      <c r="C129" s="101"/>
      <c r="D129" s="101"/>
      <c r="E129" s="282"/>
    </row>
    <row r="130" spans="1:5" s="100" customFormat="1" x14ac:dyDescent="0.25">
      <c r="C130" s="101"/>
      <c r="D130" s="101"/>
      <c r="E130" s="282"/>
    </row>
    <row r="131" spans="1:5" s="100" customFormat="1" x14ac:dyDescent="0.25">
      <c r="C131" s="101"/>
      <c r="D131" s="101"/>
      <c r="E131" s="282"/>
    </row>
    <row r="132" spans="1:5" s="100" customFormat="1" x14ac:dyDescent="0.25">
      <c r="C132" s="101"/>
      <c r="D132" s="101"/>
      <c r="E132" s="282"/>
    </row>
    <row r="133" spans="1:5" s="102" customFormat="1" x14ac:dyDescent="0.25">
      <c r="E133" s="282"/>
    </row>
    <row r="134" spans="1:5" s="102" customFormat="1" x14ac:dyDescent="0.25">
      <c r="E134" s="282"/>
    </row>
    <row r="135" spans="1:5" s="102" customFormat="1" x14ac:dyDescent="0.25">
      <c r="E135" s="282"/>
    </row>
    <row r="136" spans="1:5" s="102" customFormat="1" x14ac:dyDescent="0.25">
      <c r="E136" s="282"/>
    </row>
    <row r="137" spans="1:5" s="102" customFormat="1" x14ac:dyDescent="0.25">
      <c r="E137" s="282"/>
    </row>
    <row r="138" spans="1:5" s="26" customFormat="1" x14ac:dyDescent="0.25">
      <c r="A138" s="84"/>
      <c r="B138" s="84"/>
    </row>
    <row r="139" spans="1:5" s="26" customFormat="1" x14ac:dyDescent="0.25">
      <c r="A139" s="84"/>
      <c r="B139" s="84"/>
    </row>
    <row r="140" spans="1:5" s="26" customFormat="1" x14ac:dyDescent="0.25">
      <c r="A140" s="84"/>
      <c r="B140" s="84"/>
    </row>
    <row r="141" spans="1:5" s="26" customFormat="1" x14ac:dyDescent="0.25">
      <c r="A141" s="84"/>
      <c r="B141" s="84"/>
    </row>
    <row r="142" spans="1:5" s="26" customFormat="1" x14ac:dyDescent="0.25">
      <c r="A142" s="84"/>
      <c r="B142" s="84"/>
    </row>
    <row r="143" spans="1:5" s="26" customFormat="1" x14ac:dyDescent="0.25">
      <c r="A143" s="84"/>
      <c r="B143" s="84"/>
    </row>
    <row r="144" spans="1:5" s="26" customFormat="1" x14ac:dyDescent="0.25">
      <c r="A144" s="84"/>
      <c r="B144" s="84"/>
    </row>
    <row r="145" spans="1:2" s="26" customFormat="1" x14ac:dyDescent="0.25">
      <c r="A145" s="84"/>
      <c r="B145" s="84"/>
    </row>
    <row r="146" spans="1:2" s="26" customFormat="1" x14ac:dyDescent="0.25">
      <c r="A146" s="84"/>
      <c r="B146" s="84"/>
    </row>
    <row r="147" spans="1:2" s="26" customFormat="1" x14ac:dyDescent="0.25">
      <c r="A147" s="84"/>
      <c r="B147" s="84"/>
    </row>
    <row r="148" spans="1:2" s="26" customFormat="1" x14ac:dyDescent="0.25">
      <c r="A148" s="84"/>
      <c r="B148" s="84"/>
    </row>
    <row r="149" spans="1:2" s="26" customFormat="1" x14ac:dyDescent="0.25">
      <c r="A149" s="84"/>
      <c r="B149" s="84"/>
    </row>
    <row r="150" spans="1:2" s="26" customFormat="1" x14ac:dyDescent="0.25">
      <c r="A150" s="84"/>
      <c r="B150" s="84"/>
    </row>
    <row r="151" spans="1:2" s="26" customFormat="1" x14ac:dyDescent="0.25">
      <c r="A151" s="84"/>
      <c r="B151" s="84"/>
    </row>
    <row r="152" spans="1:2" s="26" customFormat="1" x14ac:dyDescent="0.25">
      <c r="A152" s="84"/>
      <c r="B152" s="84"/>
    </row>
    <row r="153" spans="1:2" s="26" customFormat="1" x14ac:dyDescent="0.25">
      <c r="A153" s="84"/>
      <c r="B153" s="84"/>
    </row>
    <row r="154" spans="1:2" s="26" customFormat="1" x14ac:dyDescent="0.25">
      <c r="A154" s="84"/>
      <c r="B154" s="84"/>
    </row>
    <row r="155" spans="1:2" s="26" customFormat="1" x14ac:dyDescent="0.25">
      <c r="A155" s="84"/>
      <c r="B155" s="84"/>
    </row>
    <row r="156" spans="1:2" s="26" customFormat="1" x14ac:dyDescent="0.25">
      <c r="A156" s="84"/>
      <c r="B156" s="84"/>
    </row>
    <row r="157" spans="1:2" s="26" customFormat="1" x14ac:dyDescent="0.25">
      <c r="A157" s="84"/>
      <c r="B157" s="84"/>
    </row>
    <row r="158" spans="1:2" s="26" customFormat="1" x14ac:dyDescent="0.25">
      <c r="A158" s="84"/>
      <c r="B158" s="84"/>
    </row>
    <row r="159" spans="1:2" s="26" customFormat="1" x14ac:dyDescent="0.25">
      <c r="A159" s="84"/>
      <c r="B159" s="84"/>
    </row>
    <row r="160" spans="1:2" s="26" customFormat="1" x14ac:dyDescent="0.25">
      <c r="A160" s="84"/>
      <c r="B160" s="84"/>
    </row>
    <row r="161" spans="1:2" s="26" customFormat="1" x14ac:dyDescent="0.25">
      <c r="A161" s="84"/>
      <c r="B161" s="84"/>
    </row>
    <row r="162" spans="1:2" s="26" customFormat="1" x14ac:dyDescent="0.25">
      <c r="A162" s="84"/>
      <c r="B162" s="84"/>
    </row>
    <row r="163" spans="1:2" s="26" customFormat="1" x14ac:dyDescent="0.25">
      <c r="A163" s="84"/>
      <c r="B163" s="84"/>
    </row>
    <row r="164" spans="1:2" s="26" customFormat="1" x14ac:dyDescent="0.25">
      <c r="A164" s="84"/>
      <c r="B164" s="84"/>
    </row>
    <row r="165" spans="1:2" s="26" customFormat="1" x14ac:dyDescent="0.25">
      <c r="A165" s="84"/>
      <c r="B165" s="84"/>
    </row>
    <row r="166" spans="1:2" s="26" customFormat="1" x14ac:dyDescent="0.25">
      <c r="A166" s="84"/>
      <c r="B166" s="84"/>
    </row>
    <row r="167" spans="1:2" s="26" customFormat="1" x14ac:dyDescent="0.25">
      <c r="A167" s="84"/>
      <c r="B167" s="84"/>
    </row>
    <row r="168" spans="1:2" s="26" customFormat="1" x14ac:dyDescent="0.25">
      <c r="A168" s="84"/>
      <c r="B168" s="84"/>
    </row>
    <row r="169" spans="1:2" s="26" customFormat="1" x14ac:dyDescent="0.25">
      <c r="A169" s="84"/>
      <c r="B169" s="84"/>
    </row>
    <row r="170" spans="1:2" s="26" customFormat="1" x14ac:dyDescent="0.25">
      <c r="A170" s="84"/>
      <c r="B170" s="84"/>
    </row>
    <row r="171" spans="1:2" s="26" customFormat="1" x14ac:dyDescent="0.25">
      <c r="A171" s="84"/>
      <c r="B171" s="84"/>
    </row>
    <row r="172" spans="1:2" s="26" customFormat="1" x14ac:dyDescent="0.25">
      <c r="A172" s="84"/>
      <c r="B172" s="84"/>
    </row>
    <row r="173" spans="1:2" s="26" customFormat="1" x14ac:dyDescent="0.25">
      <c r="A173" s="84"/>
      <c r="B173" s="84"/>
    </row>
    <row r="174" spans="1:2" s="26" customFormat="1" x14ac:dyDescent="0.25">
      <c r="A174" s="84"/>
      <c r="B174" s="84"/>
    </row>
    <row r="175" spans="1:2" s="26" customFormat="1" x14ac:dyDescent="0.25">
      <c r="A175" s="84"/>
      <c r="B175" s="84"/>
    </row>
    <row r="176" spans="1:2" s="26" customFormat="1" x14ac:dyDescent="0.25">
      <c r="A176" s="84"/>
      <c r="B176" s="84"/>
    </row>
    <row r="177" spans="1:2" s="26" customFormat="1" x14ac:dyDescent="0.25">
      <c r="A177" s="84"/>
      <c r="B177" s="84"/>
    </row>
    <row r="178" spans="1:2" s="26" customFormat="1" x14ac:dyDescent="0.25">
      <c r="A178" s="84"/>
      <c r="B178" s="84"/>
    </row>
    <row r="179" spans="1:2" s="26" customFormat="1" x14ac:dyDescent="0.25">
      <c r="A179" s="84"/>
      <c r="B179" s="84"/>
    </row>
    <row r="180" spans="1:2" s="26" customFormat="1" x14ac:dyDescent="0.25">
      <c r="A180" s="84"/>
      <c r="B180" s="84"/>
    </row>
    <row r="181" spans="1:2" s="26" customFormat="1" x14ac:dyDescent="0.25">
      <c r="A181" s="84"/>
      <c r="B181" s="84"/>
    </row>
    <row r="182" spans="1:2" s="26" customFormat="1" x14ac:dyDescent="0.25">
      <c r="A182" s="84"/>
      <c r="B182" s="84"/>
    </row>
    <row r="183" spans="1:2" s="26" customFormat="1" x14ac:dyDescent="0.25">
      <c r="A183" s="84"/>
      <c r="B183" s="84"/>
    </row>
    <row r="184" spans="1:2" s="26" customFormat="1" x14ac:dyDescent="0.25">
      <c r="A184" s="84"/>
      <c r="B184" s="84"/>
    </row>
    <row r="185" spans="1:2" s="26" customFormat="1" x14ac:dyDescent="0.25">
      <c r="A185" s="84"/>
      <c r="B185" s="84"/>
    </row>
    <row r="186" spans="1:2" s="26" customFormat="1" x14ac:dyDescent="0.25">
      <c r="A186" s="84"/>
      <c r="B186" s="84"/>
    </row>
    <row r="187" spans="1:2" s="26" customFormat="1" x14ac:dyDescent="0.25">
      <c r="A187" s="84"/>
      <c r="B187" s="84"/>
    </row>
    <row r="188" spans="1:2" s="26" customFormat="1" x14ac:dyDescent="0.25">
      <c r="A188" s="84"/>
      <c r="B188" s="84"/>
    </row>
    <row r="189" spans="1:2" s="26" customFormat="1" x14ac:dyDescent="0.25">
      <c r="A189" s="84"/>
      <c r="B189" s="84"/>
    </row>
    <row r="190" spans="1:2" s="26" customFormat="1" x14ac:dyDescent="0.25">
      <c r="A190" s="84"/>
      <c r="B190" s="84"/>
    </row>
    <row r="191" spans="1:2" s="26" customFormat="1" x14ac:dyDescent="0.25">
      <c r="A191" s="84"/>
      <c r="B191" s="84"/>
    </row>
    <row r="192" spans="1:2" s="26" customFormat="1" x14ac:dyDescent="0.25">
      <c r="A192" s="84"/>
      <c r="B192" s="84"/>
    </row>
    <row r="193" spans="1:2" s="26" customFormat="1" x14ac:dyDescent="0.25">
      <c r="A193" s="84"/>
      <c r="B193" s="84"/>
    </row>
    <row r="194" spans="1:2" s="26" customFormat="1" x14ac:dyDescent="0.25">
      <c r="A194" s="84"/>
      <c r="B194" s="84"/>
    </row>
    <row r="195" spans="1:2" s="26" customFormat="1" x14ac:dyDescent="0.25">
      <c r="A195" s="84"/>
      <c r="B195" s="84"/>
    </row>
    <row r="196" spans="1:2" s="26" customFormat="1" x14ac:dyDescent="0.25">
      <c r="A196" s="84"/>
      <c r="B196" s="84"/>
    </row>
    <row r="197" spans="1:2" s="26" customFormat="1" x14ac:dyDescent="0.25">
      <c r="A197" s="84"/>
      <c r="B197" s="84"/>
    </row>
    <row r="198" spans="1:2" s="26" customFormat="1" x14ac:dyDescent="0.25">
      <c r="A198" s="84"/>
      <c r="B198" s="84"/>
    </row>
    <row r="199" spans="1:2" s="26" customFormat="1" x14ac:dyDescent="0.25">
      <c r="A199" s="84"/>
      <c r="B199" s="84"/>
    </row>
    <row r="200" spans="1:2" s="26" customFormat="1" x14ac:dyDescent="0.25">
      <c r="A200" s="84"/>
      <c r="B200" s="84"/>
    </row>
    <row r="201" spans="1:2" s="26" customFormat="1" x14ac:dyDescent="0.25">
      <c r="A201" s="84"/>
      <c r="B201" s="84"/>
    </row>
    <row r="202" spans="1:2" s="26" customFormat="1" x14ac:dyDescent="0.25">
      <c r="A202" s="84"/>
      <c r="B202" s="84"/>
    </row>
    <row r="203" spans="1:2" s="26" customFormat="1" x14ac:dyDescent="0.25">
      <c r="A203" s="84"/>
      <c r="B203" s="84"/>
    </row>
    <row r="204" spans="1:2" s="26" customFormat="1" x14ac:dyDescent="0.25">
      <c r="A204" s="84"/>
      <c r="B204" s="84"/>
    </row>
    <row r="205" spans="1:2" s="26" customFormat="1" x14ac:dyDescent="0.25">
      <c r="A205" s="84"/>
      <c r="B205" s="84"/>
    </row>
    <row r="206" spans="1:2" s="26" customFormat="1" x14ac:dyDescent="0.25">
      <c r="A206" s="84"/>
      <c r="B206" s="84"/>
    </row>
    <row r="207" spans="1:2" s="26" customFormat="1" x14ac:dyDescent="0.25">
      <c r="A207" s="84"/>
      <c r="B207" s="84"/>
    </row>
    <row r="208" spans="1:2" s="26" customFormat="1" x14ac:dyDescent="0.25">
      <c r="A208" s="84"/>
      <c r="B208" s="84"/>
    </row>
    <row r="209" spans="1:2" s="26" customFormat="1" x14ac:dyDescent="0.25">
      <c r="A209" s="84"/>
      <c r="B209" s="84"/>
    </row>
    <row r="210" spans="1:2" s="26" customFormat="1" x14ac:dyDescent="0.25">
      <c r="A210" s="84"/>
      <c r="B210" s="84"/>
    </row>
    <row r="211" spans="1:2" s="26" customFormat="1" x14ac:dyDescent="0.25">
      <c r="A211" s="84"/>
      <c r="B211" s="84"/>
    </row>
    <row r="212" spans="1:2" s="26" customFormat="1" x14ac:dyDescent="0.25">
      <c r="A212" s="84"/>
      <c r="B212" s="84"/>
    </row>
    <row r="213" spans="1:2" s="26" customFormat="1" x14ac:dyDescent="0.25">
      <c r="A213" s="84"/>
      <c r="B213" s="84"/>
    </row>
    <row r="214" spans="1:2" s="26" customFormat="1" x14ac:dyDescent="0.25">
      <c r="A214" s="84"/>
      <c r="B214" s="84"/>
    </row>
    <row r="215" spans="1:2" s="26" customFormat="1" x14ac:dyDescent="0.25">
      <c r="A215" s="84"/>
      <c r="B215" s="84"/>
    </row>
    <row r="216" spans="1:2" s="26" customFormat="1" x14ac:dyDescent="0.25">
      <c r="A216" s="84"/>
      <c r="B216" s="84"/>
    </row>
    <row r="217" spans="1:2" s="26" customFormat="1" x14ac:dyDescent="0.25">
      <c r="A217" s="84"/>
      <c r="B217" s="84"/>
    </row>
    <row r="218" spans="1:2" s="26" customFormat="1" x14ac:dyDescent="0.25">
      <c r="A218" s="84"/>
      <c r="B218" s="84"/>
    </row>
    <row r="219" spans="1:2" s="26" customFormat="1" x14ac:dyDescent="0.25">
      <c r="A219" s="84"/>
      <c r="B219" s="84"/>
    </row>
    <row r="220" spans="1:2" s="26" customFormat="1" x14ac:dyDescent="0.25">
      <c r="A220" s="84"/>
      <c r="B220" s="84"/>
    </row>
    <row r="221" spans="1:2" s="26" customFormat="1" x14ac:dyDescent="0.25">
      <c r="A221" s="84"/>
      <c r="B221" s="84"/>
    </row>
    <row r="222" spans="1:2" s="26" customFormat="1" x14ac:dyDescent="0.25">
      <c r="A222" s="84"/>
      <c r="B222" s="84"/>
    </row>
    <row r="223" spans="1:2" s="26" customFormat="1" x14ac:dyDescent="0.25">
      <c r="A223" s="84"/>
      <c r="B223" s="84"/>
    </row>
    <row r="224" spans="1:2" s="26" customFormat="1" x14ac:dyDescent="0.25">
      <c r="A224" s="84"/>
      <c r="B224" s="84"/>
    </row>
    <row r="225" spans="1:2" s="26" customFormat="1" x14ac:dyDescent="0.25">
      <c r="A225" s="84"/>
      <c r="B225" s="84"/>
    </row>
    <row r="226" spans="1:2" s="26" customFormat="1" x14ac:dyDescent="0.25">
      <c r="A226" s="84"/>
      <c r="B226" s="84"/>
    </row>
    <row r="227" spans="1:2" s="26" customFormat="1" x14ac:dyDescent="0.25">
      <c r="A227" s="84"/>
      <c r="B227" s="84"/>
    </row>
    <row r="228" spans="1:2" s="26" customFormat="1" x14ac:dyDescent="0.25">
      <c r="A228" s="84"/>
      <c r="B228" s="84"/>
    </row>
    <row r="229" spans="1:2" s="26" customFormat="1" x14ac:dyDescent="0.25">
      <c r="A229" s="84"/>
      <c r="B229" s="84"/>
    </row>
    <row r="230" spans="1:2" s="26" customFormat="1" x14ac:dyDescent="0.25">
      <c r="A230" s="84"/>
      <c r="B230" s="84"/>
    </row>
    <row r="231" spans="1:2" s="26" customFormat="1" x14ac:dyDescent="0.25">
      <c r="A231" s="84"/>
      <c r="B231" s="84"/>
    </row>
    <row r="232" spans="1:2" s="26" customFormat="1" x14ac:dyDescent="0.25">
      <c r="A232" s="84"/>
      <c r="B232" s="84"/>
    </row>
    <row r="233" spans="1:2" s="26" customFormat="1" x14ac:dyDescent="0.25">
      <c r="A233" s="84"/>
      <c r="B233" s="84"/>
    </row>
    <row r="234" spans="1:2" s="26" customFormat="1" x14ac:dyDescent="0.25">
      <c r="A234" s="84"/>
      <c r="B234" s="84"/>
    </row>
    <row r="235" spans="1:2" s="26" customFormat="1" x14ac:dyDescent="0.25">
      <c r="A235" s="84"/>
      <c r="B235" s="84"/>
    </row>
    <row r="236" spans="1:2" s="26" customFormat="1" x14ac:dyDescent="0.25">
      <c r="A236" s="84"/>
      <c r="B236" s="84"/>
    </row>
    <row r="237" spans="1:2" s="26" customFormat="1" x14ac:dyDescent="0.25">
      <c r="A237" s="84"/>
      <c r="B237" s="84"/>
    </row>
    <row r="238" spans="1:2" s="26" customFormat="1" x14ac:dyDescent="0.25">
      <c r="A238" s="84"/>
      <c r="B238" s="84"/>
    </row>
    <row r="239" spans="1:2" s="26" customFormat="1" x14ac:dyDescent="0.25">
      <c r="A239" s="84"/>
      <c r="B239" s="84"/>
    </row>
    <row r="240" spans="1:2" s="26" customFormat="1" x14ac:dyDescent="0.25">
      <c r="A240" s="84"/>
      <c r="B240" s="84"/>
    </row>
    <row r="241" spans="1:2" s="26" customFormat="1" x14ac:dyDescent="0.25">
      <c r="A241" s="84"/>
      <c r="B241" s="84"/>
    </row>
    <row r="242" spans="1:2" s="26" customFormat="1" x14ac:dyDescent="0.25">
      <c r="A242" s="84"/>
      <c r="B242" s="84"/>
    </row>
    <row r="243" spans="1:2" s="26" customFormat="1" x14ac:dyDescent="0.25">
      <c r="A243" s="84"/>
      <c r="B243" s="84"/>
    </row>
    <row r="244" spans="1:2" s="26" customFormat="1" x14ac:dyDescent="0.25">
      <c r="A244" s="84"/>
      <c r="B244" s="84"/>
    </row>
    <row r="245" spans="1:2" s="26" customFormat="1" x14ac:dyDescent="0.25">
      <c r="A245" s="84"/>
      <c r="B245" s="84"/>
    </row>
    <row r="246" spans="1:2" s="26" customFormat="1" x14ac:dyDescent="0.25">
      <c r="A246" s="84"/>
      <c r="B246" s="84"/>
    </row>
    <row r="247" spans="1:2" s="26" customFormat="1" x14ac:dyDescent="0.25">
      <c r="A247" s="84"/>
      <c r="B247" s="84"/>
    </row>
    <row r="248" spans="1:2" s="26" customFormat="1" x14ac:dyDescent="0.25">
      <c r="A248" s="84"/>
      <c r="B248" s="84"/>
    </row>
    <row r="249" spans="1:2" s="26" customFormat="1" x14ac:dyDescent="0.25">
      <c r="A249" s="84"/>
      <c r="B249" s="84"/>
    </row>
    <row r="250" spans="1:2" s="26" customFormat="1" x14ac:dyDescent="0.25">
      <c r="A250" s="84"/>
      <c r="B250" s="84"/>
    </row>
    <row r="251" spans="1:2" s="26" customFormat="1" x14ac:dyDescent="0.25">
      <c r="A251" s="84"/>
      <c r="B251" s="84"/>
    </row>
    <row r="252" spans="1:2" s="26" customFormat="1" x14ac:dyDescent="0.25">
      <c r="A252" s="84"/>
      <c r="B252" s="84"/>
    </row>
    <row r="253" spans="1:2" s="26" customFormat="1" x14ac:dyDescent="0.25">
      <c r="A253" s="84"/>
      <c r="B253" s="84"/>
    </row>
    <row r="254" spans="1:2" s="26" customFormat="1" x14ac:dyDescent="0.25">
      <c r="A254" s="84"/>
      <c r="B254" s="84"/>
    </row>
    <row r="255" spans="1:2" s="26" customFormat="1" x14ac:dyDescent="0.25">
      <c r="A255" s="84"/>
      <c r="B255" s="84"/>
    </row>
    <row r="256" spans="1:2" s="26" customFormat="1" x14ac:dyDescent="0.25">
      <c r="A256" s="84"/>
      <c r="B256" s="84"/>
    </row>
    <row r="257" spans="1:2" s="26" customFormat="1" x14ac:dyDescent="0.25">
      <c r="A257" s="84"/>
      <c r="B257" s="84"/>
    </row>
    <row r="258" spans="1:2" s="26" customFormat="1" x14ac:dyDescent="0.25">
      <c r="A258" s="84"/>
      <c r="B258" s="84"/>
    </row>
    <row r="259" spans="1:2" s="26" customFormat="1" x14ac:dyDescent="0.25">
      <c r="A259" s="84"/>
      <c r="B259" s="84"/>
    </row>
    <row r="260" spans="1:2" s="26" customFormat="1" x14ac:dyDescent="0.25">
      <c r="A260" s="84"/>
      <c r="B260" s="84"/>
    </row>
    <row r="261" spans="1:2" s="26" customFormat="1" x14ac:dyDescent="0.25">
      <c r="A261" s="84"/>
      <c r="B261" s="84"/>
    </row>
    <row r="262" spans="1:2" s="26" customFormat="1" x14ac:dyDescent="0.25">
      <c r="A262" s="84"/>
      <c r="B262" s="84"/>
    </row>
    <row r="263" spans="1:2" s="26" customFormat="1" x14ac:dyDescent="0.25">
      <c r="A263" s="84"/>
      <c r="B263" s="84"/>
    </row>
    <row r="264" spans="1:2" s="26" customFormat="1" x14ac:dyDescent="0.25">
      <c r="A264" s="84"/>
      <c r="B264" s="84"/>
    </row>
    <row r="265" spans="1:2" s="26" customFormat="1" x14ac:dyDescent="0.25">
      <c r="A265" s="84"/>
      <c r="B265" s="84"/>
    </row>
    <row r="266" spans="1:2" s="26" customFormat="1" x14ac:dyDescent="0.25">
      <c r="A266" s="84"/>
      <c r="B266" s="84"/>
    </row>
    <row r="267" spans="1:2" s="26" customFormat="1" x14ac:dyDescent="0.25">
      <c r="A267" s="84"/>
      <c r="B267" s="84"/>
    </row>
    <row r="268" spans="1:2" s="26" customFormat="1" x14ac:dyDescent="0.25">
      <c r="A268" s="84"/>
      <c r="B268" s="84"/>
    </row>
    <row r="269" spans="1:2" s="26" customFormat="1" x14ac:dyDescent="0.25">
      <c r="A269" s="84"/>
      <c r="B269" s="84"/>
    </row>
    <row r="270" spans="1:2" s="26" customFormat="1" x14ac:dyDescent="0.25">
      <c r="A270" s="84"/>
      <c r="B270" s="84"/>
    </row>
    <row r="271" spans="1:2" s="26" customFormat="1" x14ac:dyDescent="0.25">
      <c r="A271" s="84"/>
      <c r="B271" s="84"/>
    </row>
    <row r="272" spans="1:2" s="26" customFormat="1" x14ac:dyDescent="0.25">
      <c r="A272" s="84"/>
      <c r="B272" s="84"/>
    </row>
    <row r="273" spans="1:2" s="26" customFormat="1" x14ac:dyDescent="0.25">
      <c r="A273" s="84"/>
      <c r="B273" s="84"/>
    </row>
    <row r="274" spans="1:2" s="26" customFormat="1" x14ac:dyDescent="0.25">
      <c r="A274" s="84"/>
      <c r="B274" s="84"/>
    </row>
    <row r="275" spans="1:2" s="26" customFormat="1" x14ac:dyDescent="0.25">
      <c r="A275" s="84"/>
      <c r="B275" s="84"/>
    </row>
    <row r="276" spans="1:2" s="26" customFormat="1" x14ac:dyDescent="0.25">
      <c r="A276" s="84"/>
      <c r="B276" s="84"/>
    </row>
    <row r="277" spans="1:2" s="26" customFormat="1" x14ac:dyDescent="0.25">
      <c r="A277" s="84"/>
      <c r="B277" s="84"/>
    </row>
    <row r="278" spans="1:2" s="26" customFormat="1" x14ac:dyDescent="0.25">
      <c r="A278" s="84"/>
      <c r="B278" s="84"/>
    </row>
    <row r="279" spans="1:2" s="26" customFormat="1" x14ac:dyDescent="0.25">
      <c r="A279" s="84"/>
      <c r="B279" s="84"/>
    </row>
    <row r="280" spans="1:2" s="26" customFormat="1" x14ac:dyDescent="0.25">
      <c r="A280" s="84"/>
      <c r="B280" s="84"/>
    </row>
    <row r="281" spans="1:2" s="26" customFormat="1" x14ac:dyDescent="0.25">
      <c r="A281" s="84"/>
      <c r="B281" s="84"/>
    </row>
    <row r="282" spans="1:2" s="26" customFormat="1" x14ac:dyDescent="0.25">
      <c r="A282" s="84"/>
      <c r="B282" s="84"/>
    </row>
    <row r="283" spans="1:2" s="26" customFormat="1" x14ac:dyDescent="0.25">
      <c r="A283" s="84"/>
      <c r="B283" s="84"/>
    </row>
    <row r="284" spans="1:2" s="26" customFormat="1" x14ac:dyDescent="0.25">
      <c r="A284" s="84"/>
      <c r="B284" s="84"/>
    </row>
    <row r="285" spans="1:2" s="26" customFormat="1" x14ac:dyDescent="0.25">
      <c r="A285" s="84"/>
      <c r="B285" s="84"/>
    </row>
    <row r="286" spans="1:2" s="26" customFormat="1" x14ac:dyDescent="0.25">
      <c r="A286" s="84"/>
      <c r="B286" s="84"/>
    </row>
    <row r="287" spans="1:2" s="26" customFormat="1" x14ac:dyDescent="0.25">
      <c r="A287" s="84"/>
      <c r="B287" s="84"/>
    </row>
    <row r="288" spans="1:2" s="26" customFormat="1" x14ac:dyDescent="0.25">
      <c r="A288" s="84"/>
      <c r="B288" s="84"/>
    </row>
    <row r="289" spans="1:2" s="26" customFormat="1" x14ac:dyDescent="0.25">
      <c r="A289" s="84"/>
      <c r="B289" s="84"/>
    </row>
    <row r="290" spans="1:2" s="26" customFormat="1" x14ac:dyDescent="0.25">
      <c r="A290" s="84"/>
      <c r="B290" s="84"/>
    </row>
    <row r="291" spans="1:2" s="26" customFormat="1" x14ac:dyDescent="0.25">
      <c r="A291" s="84"/>
      <c r="B291" s="84"/>
    </row>
    <row r="292" spans="1:2" s="26" customFormat="1" x14ac:dyDescent="0.25">
      <c r="A292" s="84"/>
      <c r="B292" s="84"/>
    </row>
    <row r="293" spans="1:2" s="26" customFormat="1" x14ac:dyDescent="0.25">
      <c r="A293" s="84"/>
      <c r="B293" s="84"/>
    </row>
    <row r="294" spans="1:2" s="26" customFormat="1" x14ac:dyDescent="0.25">
      <c r="A294" s="84"/>
      <c r="B294" s="84"/>
    </row>
    <row r="295" spans="1:2" s="26" customFormat="1" x14ac:dyDescent="0.25">
      <c r="A295" s="84"/>
      <c r="B295" s="84"/>
    </row>
    <row r="296" spans="1:2" s="26" customFormat="1" x14ac:dyDescent="0.25">
      <c r="A296" s="84"/>
      <c r="B296" s="84"/>
    </row>
    <row r="297" spans="1:2" s="26" customFormat="1" x14ac:dyDescent="0.25">
      <c r="A297" s="84"/>
      <c r="B297" s="84"/>
    </row>
    <row r="298" spans="1:2" s="26" customFormat="1" x14ac:dyDescent="0.25">
      <c r="A298" s="84"/>
      <c r="B298" s="84"/>
    </row>
    <row r="299" spans="1:2" s="26" customFormat="1" x14ac:dyDescent="0.25">
      <c r="A299" s="84"/>
      <c r="B299" s="84"/>
    </row>
    <row r="300" spans="1:2" s="26" customFormat="1" x14ac:dyDescent="0.25">
      <c r="A300" s="84"/>
      <c r="B300" s="84"/>
    </row>
    <row r="301" spans="1:2" s="26" customFormat="1" x14ac:dyDescent="0.25">
      <c r="A301" s="84"/>
      <c r="B301" s="84"/>
    </row>
    <row r="302" spans="1:2" s="26" customFormat="1" x14ac:dyDescent="0.25">
      <c r="A302" s="84"/>
      <c r="B302" s="84"/>
    </row>
    <row r="303" spans="1:2" s="26" customFormat="1" x14ac:dyDescent="0.25">
      <c r="A303" s="84"/>
      <c r="B303" s="84"/>
    </row>
    <row r="304" spans="1:2" s="26" customFormat="1" x14ac:dyDescent="0.25">
      <c r="A304" s="84"/>
      <c r="B304" s="84"/>
    </row>
    <row r="305" spans="1:2" s="26" customFormat="1" x14ac:dyDescent="0.25">
      <c r="A305" s="84"/>
      <c r="B305" s="84"/>
    </row>
    <row r="306" spans="1:2" s="26" customFormat="1" x14ac:dyDescent="0.25">
      <c r="A306" s="84"/>
      <c r="B306" s="84"/>
    </row>
    <row r="307" spans="1:2" s="26" customFormat="1" x14ac:dyDescent="0.25">
      <c r="A307" s="84"/>
      <c r="B307" s="84"/>
    </row>
    <row r="308" spans="1:2" s="26" customFormat="1" x14ac:dyDescent="0.25">
      <c r="A308" s="84"/>
      <c r="B308" s="84"/>
    </row>
    <row r="309" spans="1:2" s="26" customFormat="1" x14ac:dyDescent="0.25">
      <c r="A309" s="84"/>
      <c r="B309" s="84"/>
    </row>
    <row r="310" spans="1:2" s="26" customFormat="1" x14ac:dyDescent="0.25">
      <c r="A310" s="84"/>
      <c r="B310" s="84"/>
    </row>
    <row r="311" spans="1:2" s="26" customFormat="1" x14ac:dyDescent="0.25">
      <c r="A311" s="84"/>
      <c r="B311" s="84"/>
    </row>
    <row r="312" spans="1:2" s="26" customFormat="1" x14ac:dyDescent="0.25">
      <c r="A312" s="84"/>
      <c r="B312" s="84"/>
    </row>
    <row r="313" spans="1:2" s="26" customFormat="1" x14ac:dyDescent="0.25">
      <c r="A313" s="84"/>
      <c r="B313" s="84"/>
    </row>
    <row r="314" spans="1:2" s="26" customFormat="1" x14ac:dyDescent="0.25">
      <c r="A314" s="84"/>
      <c r="B314" s="84"/>
    </row>
    <row r="315" spans="1:2" s="26" customFormat="1" x14ac:dyDescent="0.25">
      <c r="A315" s="84"/>
      <c r="B315" s="84"/>
    </row>
    <row r="316" spans="1:2" s="26" customFormat="1" x14ac:dyDescent="0.25">
      <c r="A316" s="84"/>
      <c r="B316" s="84"/>
    </row>
    <row r="317" spans="1:2" s="26" customFormat="1" x14ac:dyDescent="0.25">
      <c r="A317" s="84"/>
      <c r="B317" s="84"/>
    </row>
    <row r="318" spans="1:2" s="26" customFormat="1" x14ac:dyDescent="0.25">
      <c r="A318" s="84"/>
      <c r="B318" s="84"/>
    </row>
    <row r="319" spans="1:2" s="26" customFormat="1" x14ac:dyDescent="0.25">
      <c r="A319" s="84"/>
      <c r="B319" s="84"/>
    </row>
    <row r="320" spans="1:2" s="26" customFormat="1" x14ac:dyDescent="0.25">
      <c r="A320" s="84"/>
      <c r="B320" s="84"/>
    </row>
    <row r="321" spans="1:2" s="26" customFormat="1" x14ac:dyDescent="0.25">
      <c r="A321" s="84"/>
      <c r="B321" s="84"/>
    </row>
    <row r="322" spans="1:2" s="26" customFormat="1" x14ac:dyDescent="0.25">
      <c r="A322" s="84"/>
      <c r="B322" s="84"/>
    </row>
    <row r="323" spans="1:2" s="26" customFormat="1" x14ac:dyDescent="0.25">
      <c r="A323" s="84"/>
      <c r="B323" s="84"/>
    </row>
    <row r="324" spans="1:2" s="26" customFormat="1" x14ac:dyDescent="0.25">
      <c r="A324" s="84"/>
      <c r="B324" s="84"/>
    </row>
    <row r="325" spans="1:2" s="26" customFormat="1" x14ac:dyDescent="0.25">
      <c r="A325" s="84"/>
      <c r="B325" s="84"/>
    </row>
    <row r="326" spans="1:2" s="26" customFormat="1" x14ac:dyDescent="0.25">
      <c r="A326" s="84"/>
      <c r="B326" s="84"/>
    </row>
    <row r="327" spans="1:2" s="26" customFormat="1" x14ac:dyDescent="0.25">
      <c r="A327" s="84"/>
      <c r="B327" s="84"/>
    </row>
    <row r="328" spans="1:2" s="26" customFormat="1" x14ac:dyDescent="0.25">
      <c r="A328" s="84"/>
      <c r="B328" s="84"/>
    </row>
    <row r="329" spans="1:2" s="26" customFormat="1" x14ac:dyDescent="0.25">
      <c r="A329" s="84"/>
      <c r="B329" s="84"/>
    </row>
    <row r="330" spans="1:2" s="26" customFormat="1" x14ac:dyDescent="0.25">
      <c r="A330" s="84"/>
      <c r="B330" s="84"/>
    </row>
    <row r="331" spans="1:2" s="26" customFormat="1" x14ac:dyDescent="0.25">
      <c r="A331" s="84"/>
      <c r="B331" s="84"/>
    </row>
    <row r="332" spans="1:2" s="26" customFormat="1" x14ac:dyDescent="0.25">
      <c r="A332" s="84"/>
      <c r="B332" s="84"/>
    </row>
    <row r="333" spans="1:2" s="26" customFormat="1" x14ac:dyDescent="0.25">
      <c r="A333" s="84"/>
      <c r="B333" s="84"/>
    </row>
    <row r="334" spans="1:2" s="26" customFormat="1" x14ac:dyDescent="0.25">
      <c r="A334" s="84"/>
      <c r="B334" s="84"/>
    </row>
    <row r="335" spans="1:2" s="26" customFormat="1" x14ac:dyDescent="0.25">
      <c r="A335" s="84"/>
      <c r="B335" s="84"/>
    </row>
    <row r="336" spans="1:2" s="26" customFormat="1" x14ac:dyDescent="0.25">
      <c r="A336" s="84"/>
      <c r="B336" s="84"/>
    </row>
    <row r="337" spans="1:2" s="26" customFormat="1" x14ac:dyDescent="0.25">
      <c r="A337" s="84"/>
      <c r="B337" s="84"/>
    </row>
    <row r="338" spans="1:2" s="26" customFormat="1" x14ac:dyDescent="0.25">
      <c r="A338" s="84"/>
      <c r="B338" s="84"/>
    </row>
    <row r="339" spans="1:2" s="26" customFormat="1" x14ac:dyDescent="0.25">
      <c r="A339" s="84"/>
      <c r="B339" s="84"/>
    </row>
    <row r="340" spans="1:2" s="26" customFormat="1" x14ac:dyDescent="0.25">
      <c r="A340" s="84"/>
      <c r="B340" s="84"/>
    </row>
    <row r="341" spans="1:2" s="26" customFormat="1" x14ac:dyDescent="0.25">
      <c r="A341" s="84"/>
      <c r="B341" s="84"/>
    </row>
    <row r="342" spans="1:2" s="26" customFormat="1" x14ac:dyDescent="0.25">
      <c r="A342" s="84"/>
      <c r="B342" s="84"/>
    </row>
    <row r="343" spans="1:2" s="26" customFormat="1" x14ac:dyDescent="0.25">
      <c r="A343" s="84"/>
      <c r="B343" s="84"/>
    </row>
    <row r="344" spans="1:2" s="26" customFormat="1" x14ac:dyDescent="0.25">
      <c r="A344" s="84"/>
      <c r="B344" s="84"/>
    </row>
    <row r="345" spans="1:2" s="26" customFormat="1" x14ac:dyDescent="0.25">
      <c r="A345" s="84"/>
      <c r="B345" s="84"/>
    </row>
    <row r="346" spans="1:2" s="26" customFormat="1" x14ac:dyDescent="0.25">
      <c r="A346" s="84"/>
      <c r="B346" s="84"/>
    </row>
    <row r="347" spans="1:2" s="26" customFormat="1" x14ac:dyDescent="0.25">
      <c r="A347" s="84"/>
      <c r="B347" s="84"/>
    </row>
    <row r="348" spans="1:2" s="26" customFormat="1" x14ac:dyDescent="0.25">
      <c r="A348" s="84"/>
      <c r="B348" s="84"/>
    </row>
    <row r="349" spans="1:2" s="26" customFormat="1" x14ac:dyDescent="0.25">
      <c r="A349" s="84"/>
      <c r="B349" s="84"/>
    </row>
    <row r="350" spans="1:2" s="26" customFormat="1" x14ac:dyDescent="0.25">
      <c r="A350" s="84"/>
      <c r="B350" s="84"/>
    </row>
    <row r="351" spans="1:2" s="26" customFormat="1" x14ac:dyDescent="0.25">
      <c r="A351" s="84"/>
      <c r="B351" s="84"/>
    </row>
    <row r="352" spans="1:2" s="26" customFormat="1" x14ac:dyDescent="0.25">
      <c r="A352" s="84"/>
      <c r="B352" s="84"/>
    </row>
    <row r="353" spans="1:2" s="26" customFormat="1" x14ac:dyDescent="0.25">
      <c r="A353" s="84"/>
      <c r="B353" s="84"/>
    </row>
    <row r="354" spans="1:2" s="26" customFormat="1" x14ac:dyDescent="0.25">
      <c r="A354" s="84"/>
      <c r="B354" s="84"/>
    </row>
    <row r="355" spans="1:2" s="26" customFormat="1" x14ac:dyDescent="0.25">
      <c r="A355" s="84"/>
      <c r="B355" s="84"/>
    </row>
    <row r="356" spans="1:2" s="26" customFormat="1" x14ac:dyDescent="0.25">
      <c r="A356" s="84"/>
      <c r="B356" s="84"/>
    </row>
    <row r="357" spans="1:2" s="26" customFormat="1" x14ac:dyDescent="0.25">
      <c r="A357" s="84"/>
      <c r="B357" s="84"/>
    </row>
    <row r="358" spans="1:2" s="26" customFormat="1" x14ac:dyDescent="0.25">
      <c r="A358" s="84"/>
      <c r="B358" s="84"/>
    </row>
    <row r="359" spans="1:2" s="26" customFormat="1" x14ac:dyDescent="0.25">
      <c r="A359" s="84"/>
      <c r="B359" s="84"/>
    </row>
    <row r="360" spans="1:2" s="26" customFormat="1" x14ac:dyDescent="0.25">
      <c r="A360" s="84"/>
      <c r="B360" s="84"/>
    </row>
    <row r="361" spans="1:2" s="26" customFormat="1" x14ac:dyDescent="0.25">
      <c r="A361" s="84"/>
      <c r="B361" s="84"/>
    </row>
    <row r="362" spans="1:2" s="26" customFormat="1" x14ac:dyDescent="0.25">
      <c r="A362" s="84"/>
      <c r="B362" s="84"/>
    </row>
    <row r="363" spans="1:2" s="26" customFormat="1" x14ac:dyDescent="0.25">
      <c r="A363" s="84"/>
      <c r="B363" s="84"/>
    </row>
    <row r="364" spans="1:2" s="26" customFormat="1" x14ac:dyDescent="0.25">
      <c r="A364" s="84"/>
      <c r="B364" s="84"/>
    </row>
    <row r="365" spans="1:2" s="26" customFormat="1" x14ac:dyDescent="0.25">
      <c r="A365" s="84"/>
      <c r="B365" s="84"/>
    </row>
    <row r="366" spans="1:2" s="26" customFormat="1" x14ac:dyDescent="0.25">
      <c r="A366" s="84"/>
      <c r="B366" s="84"/>
    </row>
    <row r="367" spans="1:2" s="26" customFormat="1" x14ac:dyDescent="0.25">
      <c r="A367" s="84"/>
      <c r="B367" s="84"/>
    </row>
    <row r="368" spans="1:2" s="26" customFormat="1" x14ac:dyDescent="0.25">
      <c r="A368" s="84"/>
      <c r="B368" s="84"/>
    </row>
    <row r="369" spans="1:2" s="26" customFormat="1" x14ac:dyDescent="0.25">
      <c r="A369" s="84"/>
      <c r="B369" s="84"/>
    </row>
    <row r="370" spans="1:2" s="26" customFormat="1" x14ac:dyDescent="0.25">
      <c r="A370" s="84"/>
      <c r="B370" s="84"/>
    </row>
    <row r="371" spans="1:2" s="26" customFormat="1" x14ac:dyDescent="0.25">
      <c r="A371" s="84"/>
      <c r="B371" s="84"/>
    </row>
    <row r="372" spans="1:2" s="26" customFormat="1" x14ac:dyDescent="0.25">
      <c r="A372" s="84"/>
      <c r="B372" s="84"/>
    </row>
    <row r="373" spans="1:2" s="26" customFormat="1" x14ac:dyDescent="0.25">
      <c r="A373" s="84"/>
      <c r="B373" s="84"/>
    </row>
    <row r="374" spans="1:2" s="26" customFormat="1" x14ac:dyDescent="0.25">
      <c r="A374" s="84"/>
      <c r="B374" s="84"/>
    </row>
    <row r="375" spans="1:2" s="26" customFormat="1" x14ac:dyDescent="0.25">
      <c r="A375" s="84"/>
      <c r="B375" s="84"/>
    </row>
    <row r="376" spans="1:2" s="26" customFormat="1" x14ac:dyDescent="0.25">
      <c r="A376" s="84"/>
      <c r="B376" s="84"/>
    </row>
    <row r="377" spans="1:2" s="26" customFormat="1" x14ac:dyDescent="0.25">
      <c r="A377" s="84"/>
      <c r="B377" s="84"/>
    </row>
    <row r="378" spans="1:2" s="26" customFormat="1" x14ac:dyDescent="0.25">
      <c r="A378" s="84"/>
      <c r="B378" s="84"/>
    </row>
    <row r="379" spans="1:2" s="26" customFormat="1" x14ac:dyDescent="0.25">
      <c r="A379" s="84"/>
      <c r="B379" s="84"/>
    </row>
    <row r="380" spans="1:2" s="26" customFormat="1" x14ac:dyDescent="0.25">
      <c r="A380" s="84"/>
      <c r="B380" s="84"/>
    </row>
    <row r="381" spans="1:2" s="26" customFormat="1" x14ac:dyDescent="0.25">
      <c r="A381" s="84"/>
      <c r="B381" s="84"/>
    </row>
    <row r="382" spans="1:2" s="26" customFormat="1" x14ac:dyDescent="0.25">
      <c r="A382" s="84"/>
      <c r="B382" s="84"/>
    </row>
    <row r="383" spans="1:2" s="26" customFormat="1" x14ac:dyDescent="0.25">
      <c r="A383" s="84"/>
      <c r="B383" s="84"/>
    </row>
    <row r="384" spans="1:2" s="26" customFormat="1" x14ac:dyDescent="0.25">
      <c r="A384" s="84"/>
      <c r="B384" s="84"/>
    </row>
    <row r="385" spans="1:2" s="26" customFormat="1" x14ac:dyDescent="0.25">
      <c r="A385" s="84"/>
      <c r="B385" s="84"/>
    </row>
    <row r="386" spans="1:2" s="26" customFormat="1" x14ac:dyDescent="0.25">
      <c r="A386" s="84"/>
      <c r="B386" s="84"/>
    </row>
    <row r="387" spans="1:2" s="26" customFormat="1" x14ac:dyDescent="0.25">
      <c r="A387" s="84"/>
      <c r="B387" s="84"/>
    </row>
    <row r="388" spans="1:2" s="26" customFormat="1" x14ac:dyDescent="0.25">
      <c r="A388" s="84"/>
      <c r="B388" s="84"/>
    </row>
    <row r="389" spans="1:2" s="26" customFormat="1" x14ac:dyDescent="0.25">
      <c r="A389" s="84"/>
      <c r="B389" s="84"/>
    </row>
    <row r="390" spans="1:2" s="26" customFormat="1" x14ac:dyDescent="0.25">
      <c r="A390" s="84"/>
      <c r="B390" s="84"/>
    </row>
    <row r="391" spans="1:2" s="26" customFormat="1" x14ac:dyDescent="0.25">
      <c r="A391" s="84"/>
      <c r="B391" s="84"/>
    </row>
    <row r="392" spans="1:2" s="26" customFormat="1" x14ac:dyDescent="0.25">
      <c r="A392" s="84"/>
      <c r="B392" s="84"/>
    </row>
    <row r="393" spans="1:2" s="26" customFormat="1" x14ac:dyDescent="0.25">
      <c r="A393" s="84"/>
      <c r="B393" s="84"/>
    </row>
    <row r="394" spans="1:2" s="26" customFormat="1" x14ac:dyDescent="0.25">
      <c r="A394" s="84"/>
      <c r="B394" s="84"/>
    </row>
    <row r="395" spans="1:2" s="26" customFormat="1" x14ac:dyDescent="0.25">
      <c r="A395" s="84"/>
      <c r="B395" s="84"/>
    </row>
    <row r="396" spans="1:2" s="26" customFormat="1" x14ac:dyDescent="0.25">
      <c r="A396" s="84"/>
      <c r="B396" s="84"/>
    </row>
    <row r="397" spans="1:2" s="26" customFormat="1" x14ac:dyDescent="0.25">
      <c r="A397" s="84"/>
      <c r="B397" s="84"/>
    </row>
    <row r="398" spans="1:2" s="26" customFormat="1" x14ac:dyDescent="0.25">
      <c r="A398" s="84"/>
      <c r="B398" s="84"/>
    </row>
    <row r="399" spans="1:2" s="26" customFormat="1" x14ac:dyDescent="0.25">
      <c r="A399" s="84"/>
      <c r="B399" s="84"/>
    </row>
    <row r="400" spans="1:2" s="26" customFormat="1" x14ac:dyDescent="0.25">
      <c r="A400" s="84"/>
      <c r="B400" s="84"/>
    </row>
    <row r="401" spans="1:2" s="26" customFormat="1" x14ac:dyDescent="0.25">
      <c r="A401" s="84"/>
      <c r="B401" s="84"/>
    </row>
    <row r="402" spans="1:2" s="26" customFormat="1" x14ac:dyDescent="0.25">
      <c r="A402" s="84"/>
      <c r="B402" s="84"/>
    </row>
    <row r="403" spans="1:2" s="26" customFormat="1" x14ac:dyDescent="0.25">
      <c r="A403" s="84"/>
      <c r="B403" s="84"/>
    </row>
    <row r="404" spans="1:2" s="26" customFormat="1" x14ac:dyDescent="0.25">
      <c r="A404" s="84"/>
      <c r="B404" s="84"/>
    </row>
    <row r="405" spans="1:2" s="26" customFormat="1" x14ac:dyDescent="0.25">
      <c r="A405" s="84"/>
      <c r="B405" s="84"/>
    </row>
    <row r="406" spans="1:2" s="26" customFormat="1" x14ac:dyDescent="0.25">
      <c r="A406" s="84"/>
      <c r="B406" s="84"/>
    </row>
    <row r="407" spans="1:2" s="26" customFormat="1" x14ac:dyDescent="0.25">
      <c r="A407" s="84"/>
      <c r="B407" s="84"/>
    </row>
    <row r="408" spans="1:2" s="26" customFormat="1" x14ac:dyDescent="0.25">
      <c r="A408" s="84"/>
      <c r="B408" s="84"/>
    </row>
    <row r="409" spans="1:2" s="26" customFormat="1" x14ac:dyDescent="0.25">
      <c r="A409" s="84"/>
      <c r="B409" s="84"/>
    </row>
    <row r="410" spans="1:2" s="26" customFormat="1" x14ac:dyDescent="0.25">
      <c r="A410" s="84"/>
      <c r="B410" s="84"/>
    </row>
    <row r="411" spans="1:2" s="26" customFormat="1" x14ac:dyDescent="0.25">
      <c r="A411" s="84"/>
      <c r="B411" s="84"/>
    </row>
    <row r="412" spans="1:2" s="26" customFormat="1" x14ac:dyDescent="0.25">
      <c r="A412" s="84"/>
      <c r="B412" s="84"/>
    </row>
    <row r="413" spans="1:2" s="26" customFormat="1" x14ac:dyDescent="0.25">
      <c r="A413" s="84"/>
      <c r="B413" s="84"/>
    </row>
    <row r="414" spans="1:2" s="26" customFormat="1" x14ac:dyDescent="0.25">
      <c r="A414" s="84"/>
      <c r="B414" s="84"/>
    </row>
    <row r="415" spans="1:2" s="26" customFormat="1" x14ac:dyDescent="0.25">
      <c r="A415" s="84"/>
      <c r="B415" s="84"/>
    </row>
    <row r="416" spans="1:2" s="26" customFormat="1" x14ac:dyDescent="0.25">
      <c r="A416" s="84"/>
      <c r="B416" s="84"/>
    </row>
    <row r="417" spans="1:2" s="26" customFormat="1" x14ac:dyDescent="0.25">
      <c r="A417" s="84"/>
      <c r="B417" s="84"/>
    </row>
    <row r="418" spans="1:2" s="26" customFormat="1" x14ac:dyDescent="0.25">
      <c r="A418" s="84"/>
      <c r="B418" s="84"/>
    </row>
    <row r="419" spans="1:2" s="26" customFormat="1" x14ac:dyDescent="0.25">
      <c r="A419" s="84"/>
      <c r="B419" s="84"/>
    </row>
    <row r="420" spans="1:2" s="26" customFormat="1" x14ac:dyDescent="0.25">
      <c r="A420" s="84"/>
      <c r="B420" s="84"/>
    </row>
    <row r="421" spans="1:2" s="26" customFormat="1" x14ac:dyDescent="0.25">
      <c r="A421" s="84"/>
      <c r="B421" s="84"/>
    </row>
    <row r="422" spans="1:2" s="26" customFormat="1" x14ac:dyDescent="0.25">
      <c r="A422" s="84"/>
      <c r="B422" s="84"/>
    </row>
    <row r="423" spans="1:2" s="26" customFormat="1" x14ac:dyDescent="0.25">
      <c r="A423" s="84"/>
      <c r="B423" s="84"/>
    </row>
    <row r="424" spans="1:2" s="26" customFormat="1" x14ac:dyDescent="0.25">
      <c r="A424" s="84"/>
      <c r="B424" s="84"/>
    </row>
    <row r="425" spans="1:2" s="26" customFormat="1" x14ac:dyDescent="0.25">
      <c r="A425" s="84"/>
      <c r="B425" s="84"/>
    </row>
    <row r="426" spans="1:2" s="26" customFormat="1" x14ac:dyDescent="0.25">
      <c r="A426" s="84"/>
      <c r="B426" s="84"/>
    </row>
    <row r="427" spans="1:2" s="26" customFormat="1" x14ac:dyDescent="0.25">
      <c r="A427" s="84"/>
      <c r="B427" s="84"/>
    </row>
    <row r="428" spans="1:2" s="26" customFormat="1" x14ac:dyDescent="0.25">
      <c r="A428" s="84"/>
      <c r="B428" s="84"/>
    </row>
    <row r="429" spans="1:2" s="26" customFormat="1" x14ac:dyDescent="0.25">
      <c r="A429" s="84"/>
      <c r="B429" s="84"/>
    </row>
    <row r="430" spans="1:2" s="26" customFormat="1" x14ac:dyDescent="0.25">
      <c r="A430" s="84"/>
      <c r="B430" s="84"/>
    </row>
    <row r="431" spans="1:2" s="26" customFormat="1" x14ac:dyDescent="0.25">
      <c r="A431" s="84"/>
      <c r="B431" s="84"/>
    </row>
    <row r="432" spans="1:2" s="26" customFormat="1" x14ac:dyDescent="0.25">
      <c r="A432" s="84"/>
      <c r="B432" s="84"/>
    </row>
    <row r="433" spans="1:2" s="26" customFormat="1" x14ac:dyDescent="0.25">
      <c r="A433" s="84"/>
      <c r="B433" s="84"/>
    </row>
    <row r="434" spans="1:2" s="26" customFormat="1" x14ac:dyDescent="0.25">
      <c r="A434" s="84"/>
      <c r="B434" s="84"/>
    </row>
    <row r="435" spans="1:2" s="26" customFormat="1" x14ac:dyDescent="0.25">
      <c r="A435" s="84"/>
      <c r="B435" s="84"/>
    </row>
    <row r="436" spans="1:2" s="26" customFormat="1" x14ac:dyDescent="0.25">
      <c r="A436" s="84"/>
      <c r="B436" s="84"/>
    </row>
    <row r="437" spans="1:2" s="26" customFormat="1" x14ac:dyDescent="0.25">
      <c r="A437" s="84"/>
      <c r="B437" s="84"/>
    </row>
    <row r="438" spans="1:2" s="26" customFormat="1" x14ac:dyDescent="0.25">
      <c r="A438" s="84"/>
      <c r="B438" s="84"/>
    </row>
    <row r="439" spans="1:2" s="26" customFormat="1" x14ac:dyDescent="0.25">
      <c r="A439" s="84"/>
      <c r="B439" s="84"/>
    </row>
    <row r="440" spans="1:2" s="26" customFormat="1" x14ac:dyDescent="0.25">
      <c r="A440" s="84"/>
      <c r="B440" s="84"/>
    </row>
    <row r="441" spans="1:2" s="26" customFormat="1" x14ac:dyDescent="0.25">
      <c r="A441" s="84"/>
      <c r="B441" s="84"/>
    </row>
    <row r="442" spans="1:2" s="26" customFormat="1" x14ac:dyDescent="0.25">
      <c r="A442" s="84"/>
      <c r="B442" s="84"/>
    </row>
    <row r="443" spans="1:2" s="26" customFormat="1" x14ac:dyDescent="0.25">
      <c r="A443" s="84"/>
      <c r="B443" s="84"/>
    </row>
    <row r="444" spans="1:2" s="26" customFormat="1" x14ac:dyDescent="0.25">
      <c r="A444" s="84"/>
      <c r="B444" s="84"/>
    </row>
    <row r="445" spans="1:2" s="26" customFormat="1" x14ac:dyDescent="0.25">
      <c r="A445" s="84"/>
      <c r="B445" s="84"/>
    </row>
    <row r="446" spans="1:2" s="26" customFormat="1" x14ac:dyDescent="0.25">
      <c r="A446" s="84"/>
      <c r="B446" s="84"/>
    </row>
    <row r="447" spans="1:2" s="26" customFormat="1" x14ac:dyDescent="0.25">
      <c r="A447" s="84"/>
      <c r="B447" s="84"/>
    </row>
    <row r="448" spans="1:2" s="26" customFormat="1" x14ac:dyDescent="0.25">
      <c r="A448" s="84"/>
      <c r="B448" s="84"/>
    </row>
    <row r="449" spans="1:2" s="26" customFormat="1" x14ac:dyDescent="0.25">
      <c r="A449" s="84"/>
      <c r="B449" s="84"/>
    </row>
    <row r="450" spans="1:2" s="26" customFormat="1" x14ac:dyDescent="0.25">
      <c r="A450" s="84"/>
      <c r="B450" s="84"/>
    </row>
    <row r="451" spans="1:2" s="26" customFormat="1" x14ac:dyDescent="0.25">
      <c r="A451" s="84"/>
      <c r="B451" s="84"/>
    </row>
    <row r="452" spans="1:2" s="26" customFormat="1" x14ac:dyDescent="0.25">
      <c r="A452" s="84"/>
      <c r="B452" s="84"/>
    </row>
    <row r="453" spans="1:2" s="26" customFormat="1" x14ac:dyDescent="0.25">
      <c r="A453" s="84"/>
      <c r="B453" s="84"/>
    </row>
    <row r="454" spans="1:2" s="26" customFormat="1" x14ac:dyDescent="0.25">
      <c r="A454" s="84"/>
      <c r="B454" s="84"/>
    </row>
    <row r="455" spans="1:2" s="26" customFormat="1" x14ac:dyDescent="0.25">
      <c r="A455" s="84"/>
      <c r="B455" s="84"/>
    </row>
    <row r="456" spans="1:2" s="26" customFormat="1" x14ac:dyDescent="0.25">
      <c r="A456" s="84"/>
      <c r="B456" s="84"/>
    </row>
    <row r="457" spans="1:2" s="26" customFormat="1" x14ac:dyDescent="0.25">
      <c r="A457" s="84"/>
      <c r="B457" s="84"/>
    </row>
    <row r="458" spans="1:2" s="26" customFormat="1" x14ac:dyDescent="0.25">
      <c r="A458" s="84"/>
      <c r="B458" s="84"/>
    </row>
    <row r="459" spans="1:2" s="26" customFormat="1" x14ac:dyDescent="0.25">
      <c r="A459" s="84"/>
      <c r="B459" s="84"/>
    </row>
    <row r="460" spans="1:2" s="26" customFormat="1" x14ac:dyDescent="0.25">
      <c r="A460" s="84"/>
      <c r="B460" s="84"/>
    </row>
    <row r="461" spans="1:2" s="26" customFormat="1" x14ac:dyDescent="0.25">
      <c r="A461" s="84"/>
      <c r="B461" s="84"/>
    </row>
    <row r="462" spans="1:2" s="26" customFormat="1" x14ac:dyDescent="0.25">
      <c r="A462" s="84"/>
      <c r="B462" s="84"/>
    </row>
    <row r="463" spans="1:2" s="26" customFormat="1" x14ac:dyDescent="0.25">
      <c r="A463" s="84"/>
      <c r="B463" s="84"/>
    </row>
    <row r="464" spans="1:2" s="26" customFormat="1" x14ac:dyDescent="0.25">
      <c r="A464" s="84"/>
      <c r="B464" s="84"/>
    </row>
    <row r="465" spans="1:2" s="26" customFormat="1" x14ac:dyDescent="0.25">
      <c r="A465" s="84"/>
      <c r="B465" s="84"/>
    </row>
    <row r="466" spans="1:2" s="26" customFormat="1" x14ac:dyDescent="0.25">
      <c r="A466" s="84"/>
      <c r="B466" s="84"/>
    </row>
    <row r="467" spans="1:2" s="26" customFormat="1" x14ac:dyDescent="0.25">
      <c r="A467" s="84"/>
      <c r="B467" s="84"/>
    </row>
    <row r="468" spans="1:2" s="26" customFormat="1" x14ac:dyDescent="0.25">
      <c r="A468" s="84"/>
      <c r="B468" s="84"/>
    </row>
    <row r="469" spans="1:2" s="26" customFormat="1" x14ac:dyDescent="0.25">
      <c r="A469" s="84"/>
      <c r="B469" s="84"/>
    </row>
    <row r="470" spans="1:2" s="26" customFormat="1" x14ac:dyDescent="0.25">
      <c r="A470" s="84"/>
      <c r="B470" s="84"/>
    </row>
    <row r="471" spans="1:2" s="26" customFormat="1" x14ac:dyDescent="0.25">
      <c r="A471" s="84"/>
      <c r="B471" s="84"/>
    </row>
    <row r="472" spans="1:2" s="26" customFormat="1" x14ac:dyDescent="0.25">
      <c r="A472" s="84"/>
      <c r="B472" s="84"/>
    </row>
    <row r="473" spans="1:2" s="26" customFormat="1" x14ac:dyDescent="0.25">
      <c r="A473" s="84"/>
      <c r="B473" s="84"/>
    </row>
    <row r="474" spans="1:2" s="26" customFormat="1" x14ac:dyDescent="0.25">
      <c r="A474" s="84"/>
      <c r="B474" s="84"/>
    </row>
    <row r="475" spans="1:2" s="26" customFormat="1" x14ac:dyDescent="0.25">
      <c r="A475" s="84"/>
      <c r="B475" s="84"/>
    </row>
    <row r="476" spans="1:2" s="26" customFormat="1" x14ac:dyDescent="0.25">
      <c r="A476" s="84"/>
      <c r="B476" s="84"/>
    </row>
    <row r="477" spans="1:2" s="26" customFormat="1" x14ac:dyDescent="0.25">
      <c r="A477" s="84"/>
      <c r="B477" s="84"/>
    </row>
    <row r="478" spans="1:2" s="26" customFormat="1" x14ac:dyDescent="0.25">
      <c r="A478" s="84"/>
      <c r="B478" s="84"/>
    </row>
    <row r="479" spans="1:2" s="26" customFormat="1" x14ac:dyDescent="0.25">
      <c r="A479" s="84"/>
      <c r="B479" s="84"/>
    </row>
    <row r="480" spans="1:2" s="26" customFormat="1" x14ac:dyDescent="0.25">
      <c r="A480" s="84"/>
      <c r="B480" s="84"/>
    </row>
    <row r="481" spans="1:2" s="26" customFormat="1" x14ac:dyDescent="0.25">
      <c r="A481" s="84"/>
      <c r="B481" s="84"/>
    </row>
    <row r="482" spans="1:2" s="26" customFormat="1" x14ac:dyDescent="0.25">
      <c r="A482" s="84"/>
      <c r="B482" s="84"/>
    </row>
    <row r="483" spans="1:2" s="26" customFormat="1" x14ac:dyDescent="0.25">
      <c r="A483" s="84"/>
      <c r="B483" s="84"/>
    </row>
    <row r="484" spans="1:2" s="26" customFormat="1" x14ac:dyDescent="0.25">
      <c r="A484" s="84"/>
      <c r="B484" s="84"/>
    </row>
    <row r="485" spans="1:2" s="26" customFormat="1" x14ac:dyDescent="0.25">
      <c r="A485" s="84"/>
      <c r="B485" s="84"/>
    </row>
    <row r="486" spans="1:2" s="26" customFormat="1" x14ac:dyDescent="0.25">
      <c r="A486" s="84"/>
      <c r="B486" s="84"/>
    </row>
    <row r="487" spans="1:2" s="26" customFormat="1" x14ac:dyDescent="0.25">
      <c r="A487" s="84"/>
      <c r="B487" s="84"/>
    </row>
    <row r="488" spans="1:2" s="26" customFormat="1" x14ac:dyDescent="0.25">
      <c r="A488" s="84"/>
      <c r="B488" s="84"/>
    </row>
    <row r="489" spans="1:2" s="26" customFormat="1" x14ac:dyDescent="0.25">
      <c r="A489" s="84"/>
      <c r="B489" s="84"/>
    </row>
    <row r="490" spans="1:2" s="26" customFormat="1" x14ac:dyDescent="0.25">
      <c r="A490" s="84"/>
      <c r="B490" s="84"/>
    </row>
    <row r="491" spans="1:2" s="26" customFormat="1" x14ac:dyDescent="0.25">
      <c r="A491" s="84"/>
      <c r="B491" s="84"/>
    </row>
    <row r="492" spans="1:2" s="26" customFormat="1" x14ac:dyDescent="0.25">
      <c r="A492" s="84"/>
      <c r="B492" s="84"/>
    </row>
    <row r="493" spans="1:2" s="26" customFormat="1" x14ac:dyDescent="0.25">
      <c r="A493" s="84"/>
      <c r="B493" s="84"/>
    </row>
    <row r="494" spans="1:2" s="26" customFormat="1" x14ac:dyDescent="0.25">
      <c r="A494" s="84"/>
      <c r="B494" s="84"/>
    </row>
    <row r="495" spans="1:2" s="26" customFormat="1" x14ac:dyDescent="0.25">
      <c r="A495" s="84"/>
      <c r="B495" s="84"/>
    </row>
    <row r="496" spans="1:2" s="26" customFormat="1" x14ac:dyDescent="0.25">
      <c r="A496" s="84"/>
      <c r="B496" s="84"/>
    </row>
    <row r="497" spans="1:2" s="26" customFormat="1" x14ac:dyDescent="0.25">
      <c r="A497" s="84"/>
      <c r="B497" s="84"/>
    </row>
    <row r="498" spans="1:2" s="26" customFormat="1" x14ac:dyDescent="0.25">
      <c r="A498" s="84"/>
      <c r="B498" s="84"/>
    </row>
    <row r="499" spans="1:2" s="26" customFormat="1" x14ac:dyDescent="0.25">
      <c r="A499" s="84"/>
      <c r="B499" s="84"/>
    </row>
    <row r="500" spans="1:2" s="26" customFormat="1" x14ac:dyDescent="0.25">
      <c r="A500" s="84"/>
      <c r="B500" s="84"/>
    </row>
    <row r="501" spans="1:2" s="26" customFormat="1" x14ac:dyDescent="0.25">
      <c r="A501" s="84"/>
      <c r="B501" s="84"/>
    </row>
    <row r="502" spans="1:2" s="26" customFormat="1" x14ac:dyDescent="0.25">
      <c r="A502" s="84"/>
      <c r="B502" s="84"/>
    </row>
    <row r="503" spans="1:2" s="26" customFormat="1" x14ac:dyDescent="0.25">
      <c r="A503" s="84"/>
      <c r="B503" s="84"/>
    </row>
    <row r="504" spans="1:2" s="26" customFormat="1" x14ac:dyDescent="0.25">
      <c r="A504" s="84"/>
      <c r="B504" s="84"/>
    </row>
    <row r="505" spans="1:2" s="26" customFormat="1" x14ac:dyDescent="0.25">
      <c r="A505" s="84"/>
      <c r="B505" s="84"/>
    </row>
    <row r="506" spans="1:2" s="26" customFormat="1" x14ac:dyDescent="0.25">
      <c r="A506" s="84"/>
      <c r="B506" s="84"/>
    </row>
    <row r="507" spans="1:2" s="26" customFormat="1" x14ac:dyDescent="0.25">
      <c r="A507" s="84"/>
      <c r="B507" s="84"/>
    </row>
    <row r="508" spans="1:2" s="26" customFormat="1" x14ac:dyDescent="0.25">
      <c r="A508" s="84"/>
      <c r="B508" s="84"/>
    </row>
    <row r="509" spans="1:2" s="26" customFormat="1" x14ac:dyDescent="0.25">
      <c r="A509" s="84"/>
      <c r="B509" s="84"/>
    </row>
    <row r="510" spans="1:2" s="26" customFormat="1" x14ac:dyDescent="0.25">
      <c r="A510" s="84"/>
      <c r="B510" s="84"/>
    </row>
    <row r="511" spans="1:2" s="26" customFormat="1" x14ac:dyDescent="0.25">
      <c r="A511" s="84"/>
      <c r="B511" s="84"/>
    </row>
    <row r="512" spans="1:2" s="26" customFormat="1" x14ac:dyDescent="0.25">
      <c r="A512" s="84"/>
      <c r="B512" s="84"/>
    </row>
    <row r="513" spans="1:2" s="26" customFormat="1" x14ac:dyDescent="0.25">
      <c r="A513" s="84"/>
      <c r="B513" s="84"/>
    </row>
    <row r="514" spans="1:2" s="26" customFormat="1" x14ac:dyDescent="0.25">
      <c r="A514" s="84"/>
      <c r="B514" s="84"/>
    </row>
    <row r="515" spans="1:2" s="26" customFormat="1" x14ac:dyDescent="0.25">
      <c r="A515" s="84"/>
      <c r="B515" s="84"/>
    </row>
    <row r="516" spans="1:2" s="26" customFormat="1" x14ac:dyDescent="0.25">
      <c r="A516" s="84"/>
      <c r="B516" s="84"/>
    </row>
    <row r="517" spans="1:2" s="26" customFormat="1" x14ac:dyDescent="0.25">
      <c r="A517" s="84"/>
      <c r="B517" s="84"/>
    </row>
    <row r="518" spans="1:2" s="26" customFormat="1" x14ac:dyDescent="0.25">
      <c r="A518" s="84"/>
      <c r="B518" s="84"/>
    </row>
    <row r="519" spans="1:2" s="26" customFormat="1" x14ac:dyDescent="0.25">
      <c r="A519" s="84"/>
      <c r="B519" s="84"/>
    </row>
    <row r="520" spans="1:2" s="26" customFormat="1" x14ac:dyDescent="0.25">
      <c r="A520" s="84"/>
      <c r="B520" s="84"/>
    </row>
    <row r="521" spans="1:2" s="26" customFormat="1" x14ac:dyDescent="0.25">
      <c r="A521" s="84"/>
      <c r="B521" s="84"/>
    </row>
    <row r="522" spans="1:2" s="26" customFormat="1" x14ac:dyDescent="0.25">
      <c r="A522" s="84"/>
      <c r="B522" s="84"/>
    </row>
    <row r="523" spans="1:2" s="26" customFormat="1" x14ac:dyDescent="0.25">
      <c r="A523" s="84"/>
      <c r="B523" s="84"/>
    </row>
    <row r="524" spans="1:2" s="26" customFormat="1" x14ac:dyDescent="0.25">
      <c r="A524" s="84"/>
      <c r="B524" s="84"/>
    </row>
    <row r="525" spans="1:2" s="26" customFormat="1" x14ac:dyDescent="0.25">
      <c r="A525" s="84"/>
      <c r="B525" s="84"/>
    </row>
    <row r="526" spans="1:2" s="26" customFormat="1" x14ac:dyDescent="0.25">
      <c r="A526" s="84"/>
      <c r="B526" s="84"/>
    </row>
    <row r="527" spans="1:2" s="26" customFormat="1" x14ac:dyDescent="0.25">
      <c r="A527" s="84"/>
      <c r="B527" s="84"/>
    </row>
    <row r="528" spans="1:2" s="26" customFormat="1" x14ac:dyDescent="0.25">
      <c r="A528" s="84"/>
      <c r="B528" s="84"/>
    </row>
    <row r="529" spans="1:2" s="26" customFormat="1" x14ac:dyDescent="0.25">
      <c r="A529" s="84"/>
      <c r="B529" s="84"/>
    </row>
    <row r="530" spans="1:2" s="26" customFormat="1" x14ac:dyDescent="0.25">
      <c r="A530" s="84"/>
      <c r="B530" s="84"/>
    </row>
    <row r="531" spans="1:2" s="26" customFormat="1" x14ac:dyDescent="0.25">
      <c r="A531" s="84"/>
      <c r="B531" s="84"/>
    </row>
    <row r="532" spans="1:2" s="26" customFormat="1" x14ac:dyDescent="0.25">
      <c r="A532" s="84"/>
      <c r="B532" s="84"/>
    </row>
    <row r="533" spans="1:2" s="26" customFormat="1" x14ac:dyDescent="0.25">
      <c r="A533" s="84"/>
      <c r="B533" s="84"/>
    </row>
    <row r="534" spans="1:2" s="26" customFormat="1" x14ac:dyDescent="0.25">
      <c r="A534" s="84"/>
      <c r="B534" s="84"/>
    </row>
    <row r="535" spans="1:2" s="26" customFormat="1" x14ac:dyDescent="0.25">
      <c r="A535" s="84"/>
      <c r="B535" s="84"/>
    </row>
    <row r="536" spans="1:2" s="26" customFormat="1" x14ac:dyDescent="0.25">
      <c r="A536" s="84"/>
      <c r="B536" s="84"/>
    </row>
    <row r="537" spans="1:2" s="26" customFormat="1" x14ac:dyDescent="0.25">
      <c r="A537" s="84"/>
      <c r="B537" s="84"/>
    </row>
    <row r="538" spans="1:2" s="26" customFormat="1" x14ac:dyDescent="0.25">
      <c r="A538" s="84"/>
      <c r="B538" s="84"/>
    </row>
    <row r="539" spans="1:2" s="26" customFormat="1" x14ac:dyDescent="0.25">
      <c r="A539" s="84"/>
      <c r="B539" s="84"/>
    </row>
    <row r="540" spans="1:2" s="26" customFormat="1" x14ac:dyDescent="0.25">
      <c r="A540" s="84"/>
      <c r="B540" s="84"/>
    </row>
    <row r="541" spans="1:2" s="26" customFormat="1" x14ac:dyDescent="0.25">
      <c r="A541" s="84"/>
      <c r="B541" s="84"/>
    </row>
    <row r="542" spans="1:2" s="26" customFormat="1" x14ac:dyDescent="0.25">
      <c r="A542" s="84"/>
      <c r="B542" s="84"/>
    </row>
    <row r="543" spans="1:2" s="26" customFormat="1" x14ac:dyDescent="0.25">
      <c r="A543" s="84"/>
      <c r="B543" s="84"/>
    </row>
    <row r="544" spans="1:2" s="26" customFormat="1" x14ac:dyDescent="0.25">
      <c r="A544" s="84"/>
      <c r="B544" s="84"/>
    </row>
    <row r="545" spans="1:2" s="26" customFormat="1" x14ac:dyDescent="0.25">
      <c r="A545" s="84"/>
      <c r="B545" s="84"/>
    </row>
    <row r="546" spans="1:2" s="26" customFormat="1" x14ac:dyDescent="0.25">
      <c r="A546" s="84"/>
      <c r="B546" s="84"/>
    </row>
    <row r="547" spans="1:2" s="26" customFormat="1" x14ac:dyDescent="0.25">
      <c r="A547" s="84"/>
      <c r="B547" s="84"/>
    </row>
    <row r="548" spans="1:2" s="26" customFormat="1" x14ac:dyDescent="0.25">
      <c r="A548" s="84"/>
      <c r="B548" s="84"/>
    </row>
    <row r="549" spans="1:2" s="26" customFormat="1" x14ac:dyDescent="0.25">
      <c r="A549" s="84"/>
      <c r="B549" s="84"/>
    </row>
    <row r="550" spans="1:2" s="26" customFormat="1" x14ac:dyDescent="0.25">
      <c r="A550" s="84"/>
      <c r="B550" s="84"/>
    </row>
    <row r="551" spans="1:2" s="26" customFormat="1" x14ac:dyDescent="0.25">
      <c r="A551" s="84"/>
      <c r="B551" s="84"/>
    </row>
    <row r="552" spans="1:2" s="26" customFormat="1" x14ac:dyDescent="0.25">
      <c r="A552" s="84"/>
      <c r="B552" s="84"/>
    </row>
    <row r="553" spans="1:2" s="26" customFormat="1" x14ac:dyDescent="0.25">
      <c r="A553" s="84"/>
      <c r="B553" s="84"/>
    </row>
    <row r="554" spans="1:2" s="26" customFormat="1" x14ac:dyDescent="0.25">
      <c r="A554" s="84"/>
      <c r="B554" s="84"/>
    </row>
    <row r="555" spans="1:2" s="26" customFormat="1" x14ac:dyDescent="0.25">
      <c r="A555" s="84"/>
      <c r="B555" s="84"/>
    </row>
    <row r="556" spans="1:2" s="26" customFormat="1" x14ac:dyDescent="0.25">
      <c r="A556" s="84"/>
      <c r="B556" s="84"/>
    </row>
    <row r="557" spans="1:2" s="26" customFormat="1" x14ac:dyDescent="0.25">
      <c r="A557" s="84"/>
      <c r="B557" s="84"/>
    </row>
    <row r="558" spans="1:2" s="26" customFormat="1" x14ac:dyDescent="0.25">
      <c r="A558" s="84"/>
      <c r="B558" s="84"/>
    </row>
    <row r="559" spans="1:2" s="26" customFormat="1" x14ac:dyDescent="0.25">
      <c r="A559" s="84"/>
      <c r="B559" s="84"/>
    </row>
    <row r="560" spans="1:2" s="26" customFormat="1" x14ac:dyDescent="0.25">
      <c r="A560" s="84"/>
      <c r="B560" s="84"/>
    </row>
    <row r="561" spans="1:2" s="26" customFormat="1" x14ac:dyDescent="0.25">
      <c r="A561" s="84"/>
      <c r="B561" s="84"/>
    </row>
    <row r="562" spans="1:2" s="26" customFormat="1" x14ac:dyDescent="0.25">
      <c r="A562" s="84"/>
      <c r="B562" s="84"/>
    </row>
    <row r="563" spans="1:2" s="26" customFormat="1" x14ac:dyDescent="0.25">
      <c r="A563" s="84"/>
      <c r="B563" s="84"/>
    </row>
    <row r="564" spans="1:2" s="26" customFormat="1" x14ac:dyDescent="0.25">
      <c r="A564" s="84"/>
      <c r="B564" s="84"/>
    </row>
    <row r="565" spans="1:2" s="26" customFormat="1" x14ac:dyDescent="0.25">
      <c r="A565" s="84"/>
      <c r="B565" s="84"/>
    </row>
    <row r="566" spans="1:2" s="26" customFormat="1" x14ac:dyDescent="0.25">
      <c r="A566" s="84"/>
      <c r="B566" s="84"/>
    </row>
    <row r="567" spans="1:2" s="26" customFormat="1" x14ac:dyDescent="0.25">
      <c r="A567" s="84"/>
      <c r="B567" s="84"/>
    </row>
    <row r="568" spans="1:2" s="26" customFormat="1" x14ac:dyDescent="0.25">
      <c r="A568" s="84"/>
      <c r="B568" s="84"/>
    </row>
    <row r="569" spans="1:2" s="26" customFormat="1" x14ac:dyDescent="0.25">
      <c r="A569" s="84"/>
      <c r="B569" s="84"/>
    </row>
    <row r="570" spans="1:2" s="26" customFormat="1" x14ac:dyDescent="0.25">
      <c r="A570" s="84"/>
      <c r="B570" s="84"/>
    </row>
    <row r="571" spans="1:2" s="26" customFormat="1" x14ac:dyDescent="0.25">
      <c r="A571" s="84"/>
      <c r="B571" s="84"/>
    </row>
    <row r="572" spans="1:2" s="26" customFormat="1" x14ac:dyDescent="0.25">
      <c r="A572" s="84"/>
      <c r="B572" s="84"/>
    </row>
    <row r="573" spans="1:2" s="26" customFormat="1" x14ac:dyDescent="0.25">
      <c r="A573" s="84"/>
      <c r="B573" s="84"/>
    </row>
    <row r="574" spans="1:2" s="26" customFormat="1" x14ac:dyDescent="0.25">
      <c r="A574" s="84"/>
      <c r="B574" s="84"/>
    </row>
    <row r="575" spans="1:2" s="26" customFormat="1" x14ac:dyDescent="0.25">
      <c r="A575" s="84"/>
      <c r="B575" s="84"/>
    </row>
    <row r="576" spans="1:2" s="26" customFormat="1" x14ac:dyDescent="0.25">
      <c r="A576" s="84"/>
      <c r="B576" s="84"/>
    </row>
    <row r="577" spans="1:2" s="26" customFormat="1" x14ac:dyDescent="0.25">
      <c r="A577" s="84"/>
      <c r="B577" s="84"/>
    </row>
    <row r="578" spans="1:2" s="26" customFormat="1" x14ac:dyDescent="0.25">
      <c r="A578" s="84"/>
      <c r="B578" s="84"/>
    </row>
    <row r="579" spans="1:2" s="26" customFormat="1" x14ac:dyDescent="0.25">
      <c r="A579" s="84"/>
      <c r="B579" s="84"/>
    </row>
    <row r="580" spans="1:2" s="26" customFormat="1" x14ac:dyDescent="0.25">
      <c r="A580" s="84"/>
      <c r="B580" s="84"/>
    </row>
    <row r="581" spans="1:2" s="26" customFormat="1" x14ac:dyDescent="0.25">
      <c r="A581" s="84"/>
      <c r="B581" s="84"/>
    </row>
    <row r="582" spans="1:2" s="26" customFormat="1" x14ac:dyDescent="0.25">
      <c r="A582" s="84"/>
      <c r="B582" s="84"/>
    </row>
    <row r="583" spans="1:2" s="26" customFormat="1" x14ac:dyDescent="0.25">
      <c r="A583" s="84"/>
      <c r="B583" s="84"/>
    </row>
    <row r="584" spans="1:2" s="26" customFormat="1" x14ac:dyDescent="0.25">
      <c r="A584" s="84"/>
      <c r="B584" s="84"/>
    </row>
    <row r="585" spans="1:2" s="26" customFormat="1" x14ac:dyDescent="0.25">
      <c r="A585" s="84"/>
      <c r="B585" s="84"/>
    </row>
    <row r="586" spans="1:2" s="26" customFormat="1" x14ac:dyDescent="0.25">
      <c r="A586" s="84"/>
      <c r="B586" s="84"/>
    </row>
    <row r="587" spans="1:2" s="26" customFormat="1" x14ac:dyDescent="0.25">
      <c r="A587" s="84"/>
      <c r="B587" s="84"/>
    </row>
    <row r="588" spans="1:2" s="26" customFormat="1" x14ac:dyDescent="0.25">
      <c r="A588" s="84"/>
      <c r="B588" s="84"/>
    </row>
    <row r="589" spans="1:2" s="26" customFormat="1" x14ac:dyDescent="0.25">
      <c r="A589" s="84"/>
      <c r="B589" s="84"/>
    </row>
    <row r="590" spans="1:2" s="26" customFormat="1" x14ac:dyDescent="0.25">
      <c r="A590" s="84"/>
      <c r="B590" s="84"/>
    </row>
    <row r="591" spans="1:2" s="26" customFormat="1" x14ac:dyDescent="0.25">
      <c r="A591" s="84"/>
      <c r="B591" s="84"/>
    </row>
    <row r="592" spans="1:2" s="26" customFormat="1" x14ac:dyDescent="0.25">
      <c r="A592" s="84"/>
      <c r="B592" s="84"/>
    </row>
    <row r="593" spans="1:2" s="26" customFormat="1" x14ac:dyDescent="0.25">
      <c r="A593" s="84"/>
      <c r="B593" s="84"/>
    </row>
    <row r="594" spans="1:2" s="26" customFormat="1" x14ac:dyDescent="0.25">
      <c r="A594" s="84"/>
      <c r="B594" s="84"/>
    </row>
    <row r="595" spans="1:2" s="26" customFormat="1" x14ac:dyDescent="0.25">
      <c r="A595" s="84"/>
      <c r="B595" s="84"/>
    </row>
    <row r="596" spans="1:2" s="26" customFormat="1" x14ac:dyDescent="0.25">
      <c r="A596" s="84"/>
      <c r="B596" s="84"/>
    </row>
    <row r="597" spans="1:2" s="26" customFormat="1" x14ac:dyDescent="0.25">
      <c r="A597" s="84"/>
      <c r="B597" s="84"/>
    </row>
    <row r="598" spans="1:2" s="26" customFormat="1" x14ac:dyDescent="0.25">
      <c r="A598" s="84"/>
      <c r="B598" s="84"/>
    </row>
    <row r="599" spans="1:2" s="26" customFormat="1" x14ac:dyDescent="0.25">
      <c r="A599" s="84"/>
      <c r="B599" s="84"/>
    </row>
    <row r="600" spans="1:2" s="26" customFormat="1" x14ac:dyDescent="0.25">
      <c r="A600" s="84"/>
      <c r="B600" s="84"/>
    </row>
    <row r="601" spans="1:2" s="26" customFormat="1" x14ac:dyDescent="0.25">
      <c r="A601" s="84"/>
      <c r="B601" s="84"/>
    </row>
    <row r="602" spans="1:2" s="26" customFormat="1" x14ac:dyDescent="0.25">
      <c r="A602" s="84"/>
      <c r="B602" s="84"/>
    </row>
    <row r="603" spans="1:2" s="26" customFormat="1" x14ac:dyDescent="0.25">
      <c r="A603" s="84"/>
      <c r="B603" s="84"/>
    </row>
    <row r="604" spans="1:2" s="26" customFormat="1" x14ac:dyDescent="0.25">
      <c r="A604" s="84"/>
      <c r="B604" s="84"/>
    </row>
    <row r="605" spans="1:2" s="26" customFormat="1" x14ac:dyDescent="0.25">
      <c r="A605" s="84"/>
      <c r="B605" s="84"/>
    </row>
    <row r="606" spans="1:2" s="26" customFormat="1" x14ac:dyDescent="0.25">
      <c r="A606" s="84"/>
      <c r="B606" s="84"/>
    </row>
    <row r="607" spans="1:2" s="26" customFormat="1" x14ac:dyDescent="0.25">
      <c r="A607" s="84"/>
      <c r="B607" s="84"/>
    </row>
    <row r="608" spans="1:2" s="26" customFormat="1" x14ac:dyDescent="0.25">
      <c r="A608" s="84"/>
      <c r="B608" s="84"/>
    </row>
    <row r="609" spans="1:2" s="26" customFormat="1" x14ac:dyDescent="0.25">
      <c r="A609" s="84"/>
      <c r="B609" s="84"/>
    </row>
    <row r="610" spans="1:2" s="26" customFormat="1" x14ac:dyDescent="0.25">
      <c r="A610" s="84"/>
      <c r="B610" s="84"/>
    </row>
    <row r="611" spans="1:2" s="26" customFormat="1" x14ac:dyDescent="0.25">
      <c r="A611" s="84"/>
      <c r="B611" s="84"/>
    </row>
    <row r="612" spans="1:2" s="26" customFormat="1" x14ac:dyDescent="0.25">
      <c r="A612" s="84"/>
      <c r="B612" s="84"/>
    </row>
    <row r="613" spans="1:2" s="26" customFormat="1" x14ac:dyDescent="0.25"/>
    <row r="614" spans="1:2" s="26" customFormat="1" x14ac:dyDescent="0.25"/>
    <row r="615" spans="1:2" s="26" customFormat="1" x14ac:dyDescent="0.25"/>
    <row r="616" spans="1:2" s="26" customFormat="1" x14ac:dyDescent="0.25"/>
    <row r="617" spans="1:2" s="26" customFormat="1" x14ac:dyDescent="0.25"/>
    <row r="618" spans="1:2" s="26" customFormat="1" x14ac:dyDescent="0.25"/>
    <row r="619" spans="1:2" s="26" customFormat="1" x14ac:dyDescent="0.25"/>
    <row r="620" spans="1:2" s="26" customFormat="1" x14ac:dyDescent="0.25"/>
    <row r="621" spans="1:2" s="26" customFormat="1" x14ac:dyDescent="0.25"/>
    <row r="622" spans="1:2" s="26" customFormat="1" x14ac:dyDescent="0.25"/>
    <row r="623" spans="1:2" s="26" customFormat="1" x14ac:dyDescent="0.25"/>
    <row r="624" spans="1:2"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sheetData>
  <sheetProtection algorithmName="SHA-512" hashValue="RiCIJweyDDLAtcHFaks3jvs4ffcHhlihhQITbiR3VL0KSqyEXhTDzL7aldPiudzojddVnO8G6j17TXBRqiLpIA==" saltValue="y5u43sAaa1A8KNRYwSscXw==" spinCount="100000" sheet="1" objects="1" scenarios="1"/>
  <sortState ref="A1:C60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P539"/>
  <sheetViews>
    <sheetView workbookViewId="0">
      <selection activeCell="D5" sqref="D5"/>
    </sheetView>
  </sheetViews>
  <sheetFormatPr defaultRowHeight="15" x14ac:dyDescent="0.25"/>
  <sheetData>
    <row r="1" spans="1:16" x14ac:dyDescent="0.25">
      <c r="A1" s="72" t="s">
        <v>13</v>
      </c>
      <c r="B1" s="72" t="s">
        <v>1827</v>
      </c>
      <c r="C1" s="74">
        <v>2017</v>
      </c>
      <c r="D1" s="81">
        <v>11.2</v>
      </c>
      <c r="E1" s="72" t="s">
        <v>1821</v>
      </c>
      <c r="F1" s="76" t="s">
        <v>1822</v>
      </c>
      <c r="G1" s="72" t="s">
        <v>1165</v>
      </c>
      <c r="H1" s="72" t="s">
        <v>18</v>
      </c>
      <c r="I1" s="72"/>
      <c r="J1" s="77"/>
      <c r="K1" s="77"/>
      <c r="L1" s="77"/>
      <c r="M1" s="78" t="s">
        <v>1824</v>
      </c>
      <c r="N1" s="78" t="s">
        <v>1825</v>
      </c>
      <c r="O1" s="78"/>
      <c r="P1" s="80">
        <v>11.2</v>
      </c>
    </row>
    <row r="2" spans="1:16" x14ac:dyDescent="0.25">
      <c r="A2" s="72" t="s">
        <v>26</v>
      </c>
      <c r="B2" s="72" t="s">
        <v>1403</v>
      </c>
      <c r="C2" s="74">
        <v>2017</v>
      </c>
      <c r="D2" s="81">
        <v>77.5</v>
      </c>
      <c r="E2" s="72" t="s">
        <v>1821</v>
      </c>
      <c r="F2" s="76" t="s">
        <v>1822</v>
      </c>
      <c r="G2" s="72" t="s">
        <v>1255</v>
      </c>
      <c r="H2" s="72" t="s">
        <v>18</v>
      </c>
      <c r="I2" s="72"/>
      <c r="J2" s="77"/>
      <c r="K2" s="77"/>
      <c r="L2" s="77"/>
      <c r="M2" s="78" t="s">
        <v>1824</v>
      </c>
      <c r="N2" s="78" t="s">
        <v>1825</v>
      </c>
      <c r="O2" s="78"/>
      <c r="P2" s="80">
        <v>77.5</v>
      </c>
    </row>
    <row r="3" spans="1:16" x14ac:dyDescent="0.25">
      <c r="A3" s="72" t="s">
        <v>44</v>
      </c>
      <c r="B3" s="72" t="s">
        <v>1406</v>
      </c>
      <c r="C3" s="74">
        <v>2017</v>
      </c>
      <c r="D3" s="81">
        <v>83.91</v>
      </c>
      <c r="E3" s="72" t="s">
        <v>1821</v>
      </c>
      <c r="F3" s="76" t="s">
        <v>1822</v>
      </c>
      <c r="G3" s="72" t="s">
        <v>1255</v>
      </c>
      <c r="H3" s="72" t="s">
        <v>18</v>
      </c>
      <c r="I3" s="72"/>
      <c r="J3" s="77"/>
      <c r="K3" s="77"/>
      <c r="L3" s="77"/>
      <c r="M3" s="78" t="s">
        <v>1824</v>
      </c>
      <c r="N3" s="78" t="s">
        <v>1825</v>
      </c>
      <c r="O3" s="78"/>
      <c r="P3" s="80">
        <v>83.91</v>
      </c>
    </row>
    <row r="4" spans="1:16" x14ac:dyDescent="0.25">
      <c r="A4" s="72" t="s">
        <v>28</v>
      </c>
      <c r="B4" s="72" t="s">
        <v>1828</v>
      </c>
      <c r="C4" s="74">
        <v>2017</v>
      </c>
      <c r="D4" s="81">
        <v>77.5</v>
      </c>
      <c r="E4" s="72" t="s">
        <v>1821</v>
      </c>
      <c r="F4" s="76" t="s">
        <v>1822</v>
      </c>
      <c r="G4" s="72" t="s">
        <v>1255</v>
      </c>
      <c r="H4" s="72" t="s">
        <v>18</v>
      </c>
      <c r="I4" s="72"/>
      <c r="J4" s="77"/>
      <c r="K4" s="77"/>
      <c r="L4" s="77"/>
      <c r="M4" s="78" t="s">
        <v>1824</v>
      </c>
      <c r="N4" s="78" t="s">
        <v>1825</v>
      </c>
      <c r="O4" s="78"/>
      <c r="P4" s="80">
        <v>77.5</v>
      </c>
    </row>
    <row r="5" spans="1:16" x14ac:dyDescent="0.25">
      <c r="A5" s="72" t="s">
        <v>1797</v>
      </c>
      <c r="B5" s="73" t="s">
        <v>1795</v>
      </c>
      <c r="C5" s="74">
        <v>2017</v>
      </c>
      <c r="D5" s="75">
        <v>30.41</v>
      </c>
      <c r="E5" s="72" t="s">
        <v>1821</v>
      </c>
      <c r="F5" s="76" t="s">
        <v>1822</v>
      </c>
      <c r="G5" s="72" t="s">
        <v>1823</v>
      </c>
      <c r="H5" s="72" t="s">
        <v>18</v>
      </c>
      <c r="I5" s="72"/>
      <c r="J5" s="77"/>
      <c r="K5" s="77"/>
      <c r="L5" s="77"/>
      <c r="M5" s="78" t="s">
        <v>1824</v>
      </c>
      <c r="N5" s="78" t="s">
        <v>1825</v>
      </c>
      <c r="O5" s="79" t="s">
        <v>1826</v>
      </c>
      <c r="P5" s="80">
        <v>30.41</v>
      </c>
    </row>
    <row r="6" spans="1:16" x14ac:dyDescent="0.25">
      <c r="A6" s="72" t="s">
        <v>34</v>
      </c>
      <c r="B6" s="72" t="s">
        <v>1400</v>
      </c>
      <c r="C6" s="74">
        <v>2017</v>
      </c>
      <c r="D6" s="81">
        <v>78.22</v>
      </c>
      <c r="E6" s="72" t="s">
        <v>1821</v>
      </c>
      <c r="F6" s="76" t="s">
        <v>1822</v>
      </c>
      <c r="G6" s="72" t="s">
        <v>1253</v>
      </c>
      <c r="H6" s="72" t="s">
        <v>18</v>
      </c>
      <c r="I6" s="72"/>
      <c r="J6" s="77"/>
      <c r="K6" s="77"/>
      <c r="L6" s="77"/>
      <c r="M6" s="78" t="s">
        <v>1824</v>
      </c>
      <c r="N6" s="78" t="s">
        <v>1825</v>
      </c>
      <c r="O6" s="78"/>
      <c r="P6" s="80">
        <v>78.22</v>
      </c>
    </row>
    <row r="7" spans="1:16" x14ac:dyDescent="0.25">
      <c r="A7" s="72" t="s">
        <v>38</v>
      </c>
      <c r="B7" s="72" t="s">
        <v>1397</v>
      </c>
      <c r="C7" s="74">
        <v>2017</v>
      </c>
      <c r="D7" s="81">
        <v>52.35</v>
      </c>
      <c r="E7" s="72" t="s">
        <v>1821</v>
      </c>
      <c r="F7" s="76" t="s">
        <v>1822</v>
      </c>
      <c r="G7" s="72" t="s">
        <v>1253</v>
      </c>
      <c r="H7" s="72" t="s">
        <v>18</v>
      </c>
      <c r="I7" s="72"/>
      <c r="J7" s="77"/>
      <c r="K7" s="77"/>
      <c r="L7" s="77"/>
      <c r="M7" s="78" t="s">
        <v>1824</v>
      </c>
      <c r="N7" s="78" t="s">
        <v>1825</v>
      </c>
      <c r="O7" s="78"/>
      <c r="P7" s="80">
        <v>52.35</v>
      </c>
    </row>
    <row r="8" spans="1:16" x14ac:dyDescent="0.25">
      <c r="A8" s="72" t="s">
        <v>42</v>
      </c>
      <c r="B8" s="72" t="s">
        <v>1829</v>
      </c>
      <c r="C8" s="74">
        <v>2017</v>
      </c>
      <c r="D8" s="81">
        <v>56.07</v>
      </c>
      <c r="E8" s="72" t="s">
        <v>1821</v>
      </c>
      <c r="F8" s="76" t="s">
        <v>1822</v>
      </c>
      <c r="G8" s="72" t="s">
        <v>1253</v>
      </c>
      <c r="H8" s="72" t="s">
        <v>18</v>
      </c>
      <c r="I8" s="72"/>
      <c r="J8" s="77"/>
      <c r="K8" s="77"/>
      <c r="L8" s="77"/>
      <c r="M8" s="78" t="s">
        <v>1824</v>
      </c>
      <c r="N8" s="78" t="s">
        <v>1825</v>
      </c>
      <c r="O8" s="78"/>
      <c r="P8" s="80">
        <v>56.07</v>
      </c>
    </row>
    <row r="9" spans="1:16" x14ac:dyDescent="0.25">
      <c r="A9" s="72" t="s">
        <v>20</v>
      </c>
      <c r="B9" s="72" t="s">
        <v>1830</v>
      </c>
      <c r="C9" s="74">
        <v>2017</v>
      </c>
      <c r="D9" s="81">
        <v>83.01</v>
      </c>
      <c r="E9" s="72" t="s">
        <v>1821</v>
      </c>
      <c r="F9" s="76" t="s">
        <v>1822</v>
      </c>
      <c r="G9" s="72" t="s">
        <v>1255</v>
      </c>
      <c r="H9" s="72" t="s">
        <v>18</v>
      </c>
      <c r="I9" s="72"/>
      <c r="J9" s="77"/>
      <c r="K9" s="77"/>
      <c r="L9" s="77"/>
      <c r="M9" s="78" t="s">
        <v>1824</v>
      </c>
      <c r="N9" s="78" t="s">
        <v>1825</v>
      </c>
      <c r="O9" s="78"/>
      <c r="P9" s="80">
        <v>83.01</v>
      </c>
    </row>
    <row r="10" spans="1:16" x14ac:dyDescent="0.25">
      <c r="A10" s="72" t="s">
        <v>548</v>
      </c>
      <c r="B10" s="72" t="s">
        <v>1419</v>
      </c>
      <c r="C10" s="74">
        <v>2017</v>
      </c>
      <c r="D10" s="81">
        <v>48.4</v>
      </c>
      <c r="E10" s="72" t="s">
        <v>1831</v>
      </c>
      <c r="F10" s="76" t="s">
        <v>1832</v>
      </c>
      <c r="G10" s="72" t="s">
        <v>1165</v>
      </c>
      <c r="H10" s="72" t="s">
        <v>18</v>
      </c>
      <c r="I10" s="72"/>
      <c r="J10" s="77"/>
      <c r="K10" s="77"/>
      <c r="L10" s="77"/>
      <c r="M10" s="78" t="s">
        <v>1824</v>
      </c>
      <c r="N10" s="78" t="s">
        <v>1825</v>
      </c>
      <c r="O10" s="78"/>
      <c r="P10" s="80">
        <v>48.4</v>
      </c>
    </row>
    <row r="11" spans="1:16" x14ac:dyDescent="0.25">
      <c r="A11" s="72" t="s">
        <v>46</v>
      </c>
      <c r="B11" s="72" t="s">
        <v>1401</v>
      </c>
      <c r="C11" s="74">
        <v>2017</v>
      </c>
      <c r="D11" s="81">
        <v>52.35</v>
      </c>
      <c r="E11" s="72" t="s">
        <v>1821</v>
      </c>
      <c r="F11" s="76" t="s">
        <v>1822</v>
      </c>
      <c r="G11" s="72" t="s">
        <v>1253</v>
      </c>
      <c r="H11" s="72" t="s">
        <v>18</v>
      </c>
      <c r="I11" s="72"/>
      <c r="J11" s="77"/>
      <c r="K11" s="77"/>
      <c r="L11" s="77"/>
      <c r="M11" s="78" t="s">
        <v>1824</v>
      </c>
      <c r="N11" s="78" t="s">
        <v>1825</v>
      </c>
      <c r="O11" s="78"/>
      <c r="P11" s="80">
        <v>52.35</v>
      </c>
    </row>
    <row r="12" spans="1:16" x14ac:dyDescent="0.25">
      <c r="A12" s="72" t="s">
        <v>40</v>
      </c>
      <c r="B12" s="72" t="s">
        <v>1402</v>
      </c>
      <c r="C12" s="74">
        <v>2017</v>
      </c>
      <c r="D12" s="81">
        <v>52.35</v>
      </c>
      <c r="E12" s="72" t="s">
        <v>1821</v>
      </c>
      <c r="F12" s="76" t="s">
        <v>1822</v>
      </c>
      <c r="G12" s="72" t="s">
        <v>1253</v>
      </c>
      <c r="H12" s="72" t="s">
        <v>18</v>
      </c>
      <c r="I12" s="72"/>
      <c r="J12" s="77"/>
      <c r="K12" s="77"/>
      <c r="L12" s="77"/>
      <c r="M12" s="78" t="s">
        <v>1824</v>
      </c>
      <c r="N12" s="78" t="s">
        <v>1825</v>
      </c>
      <c r="O12" s="78"/>
      <c r="P12" s="80">
        <v>52.35</v>
      </c>
    </row>
    <row r="13" spans="1:16" x14ac:dyDescent="0.25">
      <c r="A13" s="72" t="s">
        <v>36</v>
      </c>
      <c r="B13" s="72" t="s">
        <v>1833</v>
      </c>
      <c r="C13" s="74">
        <v>2017</v>
      </c>
      <c r="D13" s="81">
        <v>60.44</v>
      </c>
      <c r="E13" s="72" t="s">
        <v>1821</v>
      </c>
      <c r="F13" s="76" t="s">
        <v>1822</v>
      </c>
      <c r="G13" s="72" t="s">
        <v>1834</v>
      </c>
      <c r="H13" s="72" t="s">
        <v>18</v>
      </c>
      <c r="I13" s="72"/>
      <c r="J13" s="77"/>
      <c r="K13" s="77"/>
      <c r="L13" s="77"/>
      <c r="M13" s="78" t="s">
        <v>1824</v>
      </c>
      <c r="N13" s="78" t="s">
        <v>1825</v>
      </c>
      <c r="O13" s="78"/>
      <c r="P13" s="80">
        <v>60.44</v>
      </c>
    </row>
    <row r="14" spans="1:16" x14ac:dyDescent="0.25">
      <c r="A14" s="72" t="s">
        <v>22</v>
      </c>
      <c r="B14" s="72" t="s">
        <v>1411</v>
      </c>
      <c r="C14" s="74">
        <v>2017</v>
      </c>
      <c r="D14" s="81">
        <v>91.9</v>
      </c>
      <c r="E14" s="72" t="s">
        <v>1821</v>
      </c>
      <c r="F14" s="76" t="s">
        <v>1822</v>
      </c>
      <c r="G14" s="72" t="s">
        <v>1834</v>
      </c>
      <c r="H14" s="72" t="s">
        <v>18</v>
      </c>
      <c r="I14" s="72"/>
      <c r="J14" s="77"/>
      <c r="K14" s="77"/>
      <c r="L14" s="77"/>
      <c r="M14" s="78" t="s">
        <v>1824</v>
      </c>
      <c r="N14" s="78" t="s">
        <v>1825</v>
      </c>
      <c r="O14" s="78"/>
      <c r="P14" s="80">
        <v>91.9</v>
      </c>
    </row>
    <row r="15" spans="1:16" x14ac:dyDescent="0.25">
      <c r="A15" s="72" t="s">
        <v>32</v>
      </c>
      <c r="B15" s="72" t="s">
        <v>1835</v>
      </c>
      <c r="C15" s="74">
        <v>2017</v>
      </c>
      <c r="D15" s="81">
        <v>98.12</v>
      </c>
      <c r="E15" s="72" t="s">
        <v>1821</v>
      </c>
      <c r="F15" s="76" t="s">
        <v>1822</v>
      </c>
      <c r="G15" s="72" t="s">
        <v>1834</v>
      </c>
      <c r="H15" s="72" t="s">
        <v>18</v>
      </c>
      <c r="I15" s="72"/>
      <c r="J15" s="77"/>
      <c r="K15" s="77"/>
      <c r="L15" s="77"/>
      <c r="M15" s="78" t="s">
        <v>1824</v>
      </c>
      <c r="N15" s="78" t="s">
        <v>1825</v>
      </c>
      <c r="O15" s="78"/>
      <c r="P15" s="80">
        <v>98.12</v>
      </c>
    </row>
    <row r="16" spans="1:16" x14ac:dyDescent="0.25">
      <c r="A16" s="72" t="s">
        <v>528</v>
      </c>
      <c r="B16" s="72" t="s">
        <v>1420</v>
      </c>
      <c r="C16" s="74">
        <v>2017</v>
      </c>
      <c r="D16" s="81">
        <v>90.45</v>
      </c>
      <c r="E16" s="72" t="s">
        <v>1831</v>
      </c>
      <c r="F16" s="76" t="s">
        <v>1832</v>
      </c>
      <c r="G16" s="72" t="s">
        <v>1165</v>
      </c>
      <c r="H16" s="72" t="s">
        <v>18</v>
      </c>
      <c r="I16" s="72"/>
      <c r="J16" s="77"/>
      <c r="K16" s="77"/>
      <c r="L16" s="77"/>
      <c r="M16" s="78" t="s">
        <v>1824</v>
      </c>
      <c r="N16" s="78" t="s">
        <v>1825</v>
      </c>
      <c r="O16" s="78"/>
      <c r="P16" s="80">
        <v>90.45</v>
      </c>
    </row>
    <row r="17" spans="1:16" x14ac:dyDescent="0.25">
      <c r="A17" s="72" t="s">
        <v>24</v>
      </c>
      <c r="B17" s="72" t="s">
        <v>1408</v>
      </c>
      <c r="C17" s="74">
        <v>2017</v>
      </c>
      <c r="D17" s="81">
        <v>56.43</v>
      </c>
      <c r="E17" s="72" t="s">
        <v>1821</v>
      </c>
      <c r="F17" s="76" t="s">
        <v>1822</v>
      </c>
      <c r="G17" s="72" t="s">
        <v>1834</v>
      </c>
      <c r="H17" s="72" t="s">
        <v>18</v>
      </c>
      <c r="I17" s="72"/>
      <c r="J17" s="77"/>
      <c r="K17" s="77"/>
      <c r="L17" s="77"/>
      <c r="M17" s="78" t="s">
        <v>1824</v>
      </c>
      <c r="N17" s="78" t="s">
        <v>1825</v>
      </c>
      <c r="O17" s="78"/>
      <c r="P17" s="80">
        <v>56.43</v>
      </c>
    </row>
    <row r="18" spans="1:16" x14ac:dyDescent="0.25">
      <c r="A18" s="72" t="s">
        <v>504</v>
      </c>
      <c r="B18" s="72" t="s">
        <v>1836</v>
      </c>
      <c r="C18" s="74">
        <v>2017</v>
      </c>
      <c r="D18" s="81">
        <v>102.21</v>
      </c>
      <c r="E18" s="72" t="s">
        <v>1821</v>
      </c>
      <c r="F18" s="76" t="s">
        <v>1822</v>
      </c>
      <c r="G18" s="72" t="s">
        <v>1834</v>
      </c>
      <c r="H18" s="72" t="s">
        <v>18</v>
      </c>
      <c r="I18" s="72"/>
      <c r="J18" s="77"/>
      <c r="K18" s="77"/>
      <c r="L18" s="77"/>
      <c r="M18" s="78" t="s">
        <v>1824</v>
      </c>
      <c r="N18" s="78" t="s">
        <v>1825</v>
      </c>
      <c r="O18" s="78"/>
      <c r="P18" s="80">
        <v>102.21</v>
      </c>
    </row>
    <row r="19" spans="1:16" x14ac:dyDescent="0.25">
      <c r="A19" s="72" t="s">
        <v>486</v>
      </c>
      <c r="B19" s="72" t="s">
        <v>1414</v>
      </c>
      <c r="C19" s="74">
        <v>2017</v>
      </c>
      <c r="D19" s="81">
        <v>125.64</v>
      </c>
      <c r="E19" s="72" t="s">
        <v>1821</v>
      </c>
      <c r="F19" s="76" t="s">
        <v>1822</v>
      </c>
      <c r="G19" s="72" t="s">
        <v>1834</v>
      </c>
      <c r="H19" s="72" t="s">
        <v>18</v>
      </c>
      <c r="I19" s="72"/>
      <c r="J19" s="77"/>
      <c r="K19" s="77"/>
      <c r="L19" s="77"/>
      <c r="M19" s="78" t="s">
        <v>1824</v>
      </c>
      <c r="N19" s="78" t="s">
        <v>1825</v>
      </c>
      <c r="O19" s="78"/>
      <c r="P19" s="80">
        <v>125.64</v>
      </c>
    </row>
    <row r="20" spans="1:16" x14ac:dyDescent="0.25">
      <c r="A20" s="72" t="s">
        <v>522</v>
      </c>
      <c r="B20" s="72" t="s">
        <v>1837</v>
      </c>
      <c r="C20" s="74">
        <v>2017</v>
      </c>
      <c r="D20" s="81">
        <v>85.36</v>
      </c>
      <c r="E20" s="72" t="s">
        <v>1821</v>
      </c>
      <c r="F20" s="76" t="s">
        <v>1822</v>
      </c>
      <c r="G20" s="72" t="s">
        <v>1834</v>
      </c>
      <c r="H20" s="72" t="s">
        <v>18</v>
      </c>
      <c r="I20" s="72"/>
      <c r="J20" s="77"/>
      <c r="K20" s="77"/>
      <c r="L20" s="77"/>
      <c r="M20" s="78" t="s">
        <v>1824</v>
      </c>
      <c r="N20" s="78" t="s">
        <v>1825</v>
      </c>
      <c r="O20" s="78"/>
      <c r="P20" s="80">
        <v>85.36</v>
      </c>
    </row>
    <row r="21" spans="1:16" x14ac:dyDescent="0.25">
      <c r="A21" s="72" t="s">
        <v>562</v>
      </c>
      <c r="B21" s="72" t="s">
        <v>1416</v>
      </c>
      <c r="C21" s="74">
        <v>2017</v>
      </c>
      <c r="D21" s="81">
        <v>108.8</v>
      </c>
      <c r="E21" s="72" t="s">
        <v>1821</v>
      </c>
      <c r="F21" s="76" t="s">
        <v>1822</v>
      </c>
      <c r="G21" s="72" t="s">
        <v>1834</v>
      </c>
      <c r="H21" s="72" t="s">
        <v>18</v>
      </c>
      <c r="I21" s="72"/>
      <c r="J21" s="77"/>
      <c r="K21" s="77"/>
      <c r="L21" s="77"/>
      <c r="M21" s="78" t="s">
        <v>1824</v>
      </c>
      <c r="N21" s="78" t="s">
        <v>1825</v>
      </c>
      <c r="O21" s="78"/>
      <c r="P21" s="80">
        <v>108.8</v>
      </c>
    </row>
    <row r="22" spans="1:16" x14ac:dyDescent="0.25">
      <c r="A22" s="72" t="s">
        <v>30</v>
      </c>
      <c r="B22" s="72" t="s">
        <v>1838</v>
      </c>
      <c r="C22" s="74">
        <v>2017</v>
      </c>
      <c r="D22" s="81">
        <v>56.43</v>
      </c>
      <c r="E22" s="72" t="s">
        <v>1821</v>
      </c>
      <c r="F22" s="76" t="s">
        <v>1822</v>
      </c>
      <c r="G22" s="72" t="s">
        <v>1834</v>
      </c>
      <c r="H22" s="72" t="s">
        <v>18</v>
      </c>
      <c r="I22" s="72"/>
      <c r="J22" s="77"/>
      <c r="K22" s="77"/>
      <c r="L22" s="77"/>
      <c r="M22" s="78" t="s">
        <v>1824</v>
      </c>
      <c r="N22" s="78" t="s">
        <v>1825</v>
      </c>
      <c r="O22" s="78"/>
      <c r="P22" s="80">
        <v>56.43</v>
      </c>
    </row>
    <row r="23" spans="1:16" x14ac:dyDescent="0.25">
      <c r="A23" s="72" t="s">
        <v>425</v>
      </c>
      <c r="B23" s="72" t="s">
        <v>1839</v>
      </c>
      <c r="C23" s="74">
        <v>2017</v>
      </c>
      <c r="D23" s="81">
        <v>27.53</v>
      </c>
      <c r="E23" s="72" t="s">
        <v>1840</v>
      </c>
      <c r="F23" s="76" t="s">
        <v>1841</v>
      </c>
      <c r="G23" s="72" t="s">
        <v>1295</v>
      </c>
      <c r="H23" s="72" t="s">
        <v>18</v>
      </c>
      <c r="I23" s="72"/>
      <c r="J23" s="77"/>
      <c r="K23" s="77"/>
      <c r="L23" s="77"/>
      <c r="M23" s="78" t="s">
        <v>1824</v>
      </c>
      <c r="N23" s="78" t="s">
        <v>1825</v>
      </c>
      <c r="O23" s="78"/>
      <c r="P23" s="80">
        <v>27.53</v>
      </c>
    </row>
    <row r="24" spans="1:16" x14ac:dyDescent="0.25">
      <c r="A24" s="72" t="s">
        <v>395</v>
      </c>
      <c r="B24" s="72" t="s">
        <v>1842</v>
      </c>
      <c r="C24" s="74">
        <v>2017</v>
      </c>
      <c r="D24" s="81">
        <v>119.13</v>
      </c>
      <c r="E24" s="72" t="s">
        <v>1821</v>
      </c>
      <c r="F24" s="76" t="s">
        <v>1822</v>
      </c>
      <c r="G24" s="72" t="s">
        <v>1295</v>
      </c>
      <c r="H24" s="72" t="s">
        <v>18</v>
      </c>
      <c r="I24" s="72"/>
      <c r="J24" s="77"/>
      <c r="K24" s="77"/>
      <c r="L24" s="77"/>
      <c r="M24" s="78" t="s">
        <v>1824</v>
      </c>
      <c r="N24" s="78" t="s">
        <v>1825</v>
      </c>
      <c r="O24" s="78"/>
      <c r="P24" s="80">
        <v>119.13</v>
      </c>
    </row>
    <row r="25" spans="1:16" x14ac:dyDescent="0.25">
      <c r="A25" s="72" t="s">
        <v>419</v>
      </c>
      <c r="B25" s="72" t="s">
        <v>1843</v>
      </c>
      <c r="C25" s="74">
        <v>2017</v>
      </c>
      <c r="D25" s="81">
        <v>119.13</v>
      </c>
      <c r="E25" s="72" t="s">
        <v>1821</v>
      </c>
      <c r="F25" s="76" t="s">
        <v>1822</v>
      </c>
      <c r="G25" s="72" t="s">
        <v>1295</v>
      </c>
      <c r="H25" s="72" t="s">
        <v>18</v>
      </c>
      <c r="I25" s="72"/>
      <c r="J25" s="77"/>
      <c r="K25" s="77"/>
      <c r="L25" s="77"/>
      <c r="M25" s="78" t="s">
        <v>1824</v>
      </c>
      <c r="N25" s="78" t="s">
        <v>1825</v>
      </c>
      <c r="O25" s="78"/>
      <c r="P25" s="80">
        <v>119.13</v>
      </c>
    </row>
    <row r="26" spans="1:16" x14ac:dyDescent="0.25">
      <c r="A26" s="72" t="s">
        <v>411</v>
      </c>
      <c r="B26" s="72" t="s">
        <v>1844</v>
      </c>
      <c r="C26" s="74">
        <v>2017</v>
      </c>
      <c r="D26" s="81">
        <v>119.13</v>
      </c>
      <c r="E26" s="72" t="s">
        <v>1821</v>
      </c>
      <c r="F26" s="76" t="s">
        <v>1822</v>
      </c>
      <c r="G26" s="72" t="s">
        <v>1295</v>
      </c>
      <c r="H26" s="72" t="s">
        <v>18</v>
      </c>
      <c r="I26" s="72"/>
      <c r="J26" s="77"/>
      <c r="K26" s="77"/>
      <c r="L26" s="77"/>
      <c r="M26" s="78" t="s">
        <v>1824</v>
      </c>
      <c r="N26" s="78" t="s">
        <v>1825</v>
      </c>
      <c r="O26" s="78"/>
      <c r="P26" s="80">
        <v>119.13</v>
      </c>
    </row>
    <row r="27" spans="1:16" x14ac:dyDescent="0.25">
      <c r="A27" s="72" t="s">
        <v>403</v>
      </c>
      <c r="B27" s="72" t="s">
        <v>1381</v>
      </c>
      <c r="C27" s="74">
        <v>2017</v>
      </c>
      <c r="D27" s="81">
        <v>119.13</v>
      </c>
      <c r="E27" s="72" t="s">
        <v>1821</v>
      </c>
      <c r="F27" s="76" t="s">
        <v>1822</v>
      </c>
      <c r="G27" s="72" t="s">
        <v>1295</v>
      </c>
      <c r="H27" s="72" t="s">
        <v>18</v>
      </c>
      <c r="I27" s="72"/>
      <c r="J27" s="77"/>
      <c r="K27" s="77"/>
      <c r="L27" s="77"/>
      <c r="M27" s="78" t="s">
        <v>1824</v>
      </c>
      <c r="N27" s="78" t="s">
        <v>1825</v>
      </c>
      <c r="O27" s="78"/>
      <c r="P27" s="80">
        <v>119.13</v>
      </c>
    </row>
    <row r="28" spans="1:16" x14ac:dyDescent="0.25">
      <c r="A28" s="72" t="s">
        <v>437</v>
      </c>
      <c r="B28" s="72" t="s">
        <v>1382</v>
      </c>
      <c r="C28" s="74">
        <v>2017</v>
      </c>
      <c r="D28" s="81">
        <v>63.32</v>
      </c>
      <c r="E28" s="72" t="s">
        <v>1821</v>
      </c>
      <c r="F28" s="76" t="s">
        <v>1822</v>
      </c>
      <c r="G28" s="72" t="s">
        <v>1295</v>
      </c>
      <c r="H28" s="72" t="s">
        <v>18</v>
      </c>
      <c r="I28" s="72"/>
      <c r="J28" s="77"/>
      <c r="K28" s="77"/>
      <c r="L28" s="77"/>
      <c r="M28" s="78" t="s">
        <v>1824</v>
      </c>
      <c r="N28" s="78" t="s">
        <v>1825</v>
      </c>
      <c r="O28" s="78"/>
      <c r="P28" s="80">
        <v>63.32</v>
      </c>
    </row>
    <row r="29" spans="1:16" x14ac:dyDescent="0.25">
      <c r="A29" s="72" t="s">
        <v>397</v>
      </c>
      <c r="B29" s="72" t="s">
        <v>1383</v>
      </c>
      <c r="C29" s="74">
        <v>2017</v>
      </c>
      <c r="D29" s="81">
        <v>124.15</v>
      </c>
      <c r="E29" s="72" t="s">
        <v>1821</v>
      </c>
      <c r="F29" s="76" t="s">
        <v>1822</v>
      </c>
      <c r="G29" s="72" t="s">
        <v>1295</v>
      </c>
      <c r="H29" s="72" t="s">
        <v>18</v>
      </c>
      <c r="I29" s="72"/>
      <c r="J29" s="77"/>
      <c r="K29" s="77"/>
      <c r="L29" s="77"/>
      <c r="M29" s="78" t="s">
        <v>1824</v>
      </c>
      <c r="N29" s="78" t="s">
        <v>1825</v>
      </c>
      <c r="O29" s="78"/>
      <c r="P29" s="80">
        <v>124.15</v>
      </c>
    </row>
    <row r="30" spans="1:16" x14ac:dyDescent="0.25">
      <c r="A30" s="72" t="s">
        <v>421</v>
      </c>
      <c r="B30" s="72" t="s">
        <v>1388</v>
      </c>
      <c r="C30" s="74">
        <v>2017</v>
      </c>
      <c r="D30" s="81">
        <v>135.12</v>
      </c>
      <c r="E30" s="72" t="s">
        <v>1821</v>
      </c>
      <c r="F30" s="76" t="s">
        <v>1822</v>
      </c>
      <c r="G30" s="72" t="s">
        <v>1295</v>
      </c>
      <c r="H30" s="72" t="s">
        <v>18</v>
      </c>
      <c r="I30" s="72"/>
      <c r="J30" s="77"/>
      <c r="K30" s="77"/>
      <c r="L30" s="77"/>
      <c r="M30" s="78" t="s">
        <v>1824</v>
      </c>
      <c r="N30" s="78" t="s">
        <v>1825</v>
      </c>
      <c r="O30" s="78"/>
      <c r="P30" s="80">
        <v>135.12</v>
      </c>
    </row>
    <row r="31" spans="1:16" x14ac:dyDescent="0.25">
      <c r="A31" s="72" t="s">
        <v>423</v>
      </c>
      <c r="B31" s="72" t="s">
        <v>1389</v>
      </c>
      <c r="C31" s="74">
        <v>2017</v>
      </c>
      <c r="D31" s="81">
        <v>119.88</v>
      </c>
      <c r="E31" s="72" t="s">
        <v>1821</v>
      </c>
      <c r="F31" s="76" t="s">
        <v>1822</v>
      </c>
      <c r="G31" s="72" t="s">
        <v>1295</v>
      </c>
      <c r="H31" s="72" t="s">
        <v>18</v>
      </c>
      <c r="I31" s="72"/>
      <c r="J31" s="77"/>
      <c r="K31" s="77"/>
      <c r="L31" s="77"/>
      <c r="M31" s="78" t="s">
        <v>1824</v>
      </c>
      <c r="N31" s="78" t="s">
        <v>1825</v>
      </c>
      <c r="O31" s="78"/>
      <c r="P31" s="80">
        <v>119.88</v>
      </c>
    </row>
    <row r="32" spans="1:16" x14ac:dyDescent="0.25">
      <c r="A32" s="72" t="s">
        <v>431</v>
      </c>
      <c r="B32" s="72" t="s">
        <v>1384</v>
      </c>
      <c r="C32" s="74">
        <v>2017</v>
      </c>
      <c r="D32" s="81">
        <v>107.91</v>
      </c>
      <c r="E32" s="72" t="s">
        <v>1821</v>
      </c>
      <c r="F32" s="76" t="s">
        <v>1822</v>
      </c>
      <c r="G32" s="72" t="s">
        <v>1295</v>
      </c>
      <c r="H32" s="72" t="s">
        <v>18</v>
      </c>
      <c r="I32" s="72"/>
      <c r="J32" s="77"/>
      <c r="K32" s="77"/>
      <c r="L32" s="77"/>
      <c r="M32" s="78" t="s">
        <v>1824</v>
      </c>
      <c r="N32" s="78" t="s">
        <v>1825</v>
      </c>
      <c r="O32" s="78"/>
      <c r="P32" s="80">
        <v>107.91</v>
      </c>
    </row>
    <row r="33" spans="1:16" x14ac:dyDescent="0.25">
      <c r="A33" s="72" t="s">
        <v>1733</v>
      </c>
      <c r="B33" s="72" t="s">
        <v>1845</v>
      </c>
      <c r="C33" s="74">
        <v>2017</v>
      </c>
      <c r="D33" s="81">
        <v>119.13</v>
      </c>
      <c r="E33" s="72" t="s">
        <v>1821</v>
      </c>
      <c r="F33" s="76" t="s">
        <v>1822</v>
      </c>
      <c r="G33" s="72" t="s">
        <v>1295</v>
      </c>
      <c r="H33" s="72" t="s">
        <v>18</v>
      </c>
      <c r="I33" s="72"/>
      <c r="J33" s="77"/>
      <c r="K33" s="77"/>
      <c r="L33" s="77"/>
      <c r="M33" s="78" t="s">
        <v>1824</v>
      </c>
      <c r="N33" s="78" t="s">
        <v>1825</v>
      </c>
      <c r="O33" s="82"/>
      <c r="P33" s="80">
        <v>119.13</v>
      </c>
    </row>
    <row r="34" spans="1:16" x14ac:dyDescent="0.25">
      <c r="A34" s="72" t="s">
        <v>1734</v>
      </c>
      <c r="B34" s="72" t="s">
        <v>1846</v>
      </c>
      <c r="C34" s="74">
        <v>2017</v>
      </c>
      <c r="D34" s="81">
        <v>119.13</v>
      </c>
      <c r="E34" s="72" t="s">
        <v>1821</v>
      </c>
      <c r="F34" s="76" t="s">
        <v>1822</v>
      </c>
      <c r="G34" s="72" t="s">
        <v>1295</v>
      </c>
      <c r="H34" s="72" t="s">
        <v>18</v>
      </c>
      <c r="I34" s="72"/>
      <c r="J34" s="77"/>
      <c r="K34" s="77"/>
      <c r="L34" s="77"/>
      <c r="M34" s="78" t="s">
        <v>1824</v>
      </c>
      <c r="N34" s="78" t="s">
        <v>1825</v>
      </c>
      <c r="O34" s="82"/>
      <c r="P34" s="80">
        <v>119.13</v>
      </c>
    </row>
    <row r="35" spans="1:16" x14ac:dyDescent="0.25">
      <c r="A35" s="72" t="s">
        <v>1847</v>
      </c>
      <c r="B35" s="72" t="s">
        <v>1848</v>
      </c>
      <c r="C35" s="74">
        <v>2017</v>
      </c>
      <c r="D35" s="81">
        <v>22.89</v>
      </c>
      <c r="E35" s="72" t="s">
        <v>1821</v>
      </c>
      <c r="F35" s="76" t="s">
        <v>1822</v>
      </c>
      <c r="G35" s="72" t="s">
        <v>1295</v>
      </c>
      <c r="H35" s="72" t="s">
        <v>18</v>
      </c>
      <c r="I35" s="72"/>
      <c r="J35" s="77"/>
      <c r="K35" s="77"/>
      <c r="L35" s="77"/>
      <c r="M35" s="78" t="s">
        <v>1824</v>
      </c>
      <c r="N35" s="78" t="s">
        <v>1825</v>
      </c>
      <c r="O35" s="82"/>
      <c r="P35" s="80">
        <v>22.89</v>
      </c>
    </row>
    <row r="36" spans="1:16" x14ac:dyDescent="0.25">
      <c r="A36" s="72" t="s">
        <v>7</v>
      </c>
      <c r="B36" s="72" t="s">
        <v>1849</v>
      </c>
      <c r="C36" s="74">
        <v>2017</v>
      </c>
      <c r="D36" s="81">
        <v>36.85</v>
      </c>
      <c r="E36" s="72" t="s">
        <v>1831</v>
      </c>
      <c r="F36" s="76" t="s">
        <v>1832</v>
      </c>
      <c r="G36" s="72" t="s">
        <v>1165</v>
      </c>
      <c r="H36" s="72" t="s">
        <v>18</v>
      </c>
      <c r="I36" s="72"/>
      <c r="J36" s="77"/>
      <c r="K36" s="77"/>
      <c r="L36" s="77"/>
      <c r="M36" s="78" t="s">
        <v>1824</v>
      </c>
      <c r="N36" s="78" t="s">
        <v>1825</v>
      </c>
      <c r="O36" s="78"/>
      <c r="P36" s="80">
        <v>36.85</v>
      </c>
    </row>
    <row r="37" spans="1:16" x14ac:dyDescent="0.25">
      <c r="A37" s="72" t="s">
        <v>490</v>
      </c>
      <c r="B37" s="72" t="s">
        <v>1850</v>
      </c>
      <c r="C37" s="74">
        <v>2017</v>
      </c>
      <c r="D37" s="81">
        <v>68.209999999999994</v>
      </c>
      <c r="E37" s="72" t="s">
        <v>1831</v>
      </c>
      <c r="F37" s="76" t="s">
        <v>1832</v>
      </c>
      <c r="G37" s="72" t="s">
        <v>1165</v>
      </c>
      <c r="H37" s="72" t="s">
        <v>18</v>
      </c>
      <c r="I37" s="72"/>
      <c r="J37" s="77"/>
      <c r="K37" s="77"/>
      <c r="L37" s="77"/>
      <c r="M37" s="78" t="s">
        <v>1824</v>
      </c>
      <c r="N37" s="78" t="s">
        <v>1825</v>
      </c>
      <c r="O37" s="78"/>
      <c r="P37" s="80">
        <v>68.209999999999994</v>
      </c>
    </row>
    <row r="38" spans="1:16" x14ac:dyDescent="0.25">
      <c r="A38" s="72" t="s">
        <v>520</v>
      </c>
      <c r="B38" s="72" t="s">
        <v>1851</v>
      </c>
      <c r="C38" s="74">
        <v>2017</v>
      </c>
      <c r="D38" s="81">
        <v>68.209999999999994</v>
      </c>
      <c r="E38" s="72" t="s">
        <v>1831</v>
      </c>
      <c r="F38" s="76" t="s">
        <v>1832</v>
      </c>
      <c r="G38" s="72" t="s">
        <v>1165</v>
      </c>
      <c r="H38" s="72" t="s">
        <v>18</v>
      </c>
      <c r="I38" s="72"/>
      <c r="J38" s="77"/>
      <c r="K38" s="77"/>
      <c r="L38" s="77"/>
      <c r="M38" s="78" t="s">
        <v>1824</v>
      </c>
      <c r="N38" s="78" t="s">
        <v>1825</v>
      </c>
      <c r="O38" s="78"/>
      <c r="P38" s="80">
        <v>68.209999999999994</v>
      </c>
    </row>
    <row r="39" spans="1:16" x14ac:dyDescent="0.25">
      <c r="A39" s="72" t="s">
        <v>427</v>
      </c>
      <c r="B39" s="72" t="s">
        <v>1363</v>
      </c>
      <c r="C39" s="74">
        <v>2017</v>
      </c>
      <c r="D39" s="81">
        <v>68.209999999999994</v>
      </c>
      <c r="E39" s="72" t="s">
        <v>1831</v>
      </c>
      <c r="F39" s="76" t="s">
        <v>1832</v>
      </c>
      <c r="G39" s="72" t="s">
        <v>1852</v>
      </c>
      <c r="H39" s="72" t="s">
        <v>18</v>
      </c>
      <c r="I39" s="72"/>
      <c r="J39" s="77"/>
      <c r="K39" s="77"/>
      <c r="L39" s="77"/>
      <c r="M39" s="78" t="s">
        <v>1824</v>
      </c>
      <c r="N39" s="78" t="s">
        <v>1825</v>
      </c>
      <c r="O39" s="78"/>
      <c r="P39" s="80">
        <v>68.209999999999994</v>
      </c>
    </row>
    <row r="40" spans="1:16" x14ac:dyDescent="0.25">
      <c r="A40" s="72" t="s">
        <v>435</v>
      </c>
      <c r="B40" s="72" t="s">
        <v>1853</v>
      </c>
      <c r="C40" s="74">
        <v>2017</v>
      </c>
      <c r="D40" s="81">
        <v>7.01</v>
      </c>
      <c r="E40" s="72" t="s">
        <v>1854</v>
      </c>
      <c r="F40" s="76" t="s">
        <v>1855</v>
      </c>
      <c r="G40" s="72" t="s">
        <v>1856</v>
      </c>
      <c r="H40" s="72" t="s">
        <v>18</v>
      </c>
      <c r="I40" s="72"/>
      <c r="J40" s="77"/>
      <c r="K40" s="83"/>
      <c r="L40" s="83"/>
      <c r="M40" s="78" t="s">
        <v>1824</v>
      </c>
      <c r="N40" s="78" t="s">
        <v>1825</v>
      </c>
      <c r="O40" s="78"/>
      <c r="P40" s="80">
        <v>7.01</v>
      </c>
    </row>
    <row r="41" spans="1:16" x14ac:dyDescent="0.25">
      <c r="A41" s="72" t="s">
        <v>500</v>
      </c>
      <c r="B41" s="72" t="s">
        <v>1857</v>
      </c>
      <c r="C41" s="74">
        <v>2017</v>
      </c>
      <c r="D41" s="81">
        <v>39.33</v>
      </c>
      <c r="E41" s="72" t="s">
        <v>1831</v>
      </c>
      <c r="F41" s="76" t="s">
        <v>1832</v>
      </c>
      <c r="G41" s="72" t="s">
        <v>1165</v>
      </c>
      <c r="H41" s="72" t="s">
        <v>18</v>
      </c>
      <c r="I41" s="72"/>
      <c r="J41" s="77"/>
      <c r="K41" s="77"/>
      <c r="L41" s="77"/>
      <c r="M41" s="78" t="s">
        <v>1824</v>
      </c>
      <c r="N41" s="78" t="s">
        <v>1825</v>
      </c>
      <c r="O41" s="78"/>
      <c r="P41" s="80">
        <v>39.33</v>
      </c>
    </row>
    <row r="42" spans="1:16" x14ac:dyDescent="0.25">
      <c r="A42" s="72" t="s">
        <v>524</v>
      </c>
      <c r="B42" s="72" t="s">
        <v>1858</v>
      </c>
      <c r="C42" s="74">
        <v>2017</v>
      </c>
      <c r="D42" s="81">
        <v>49.79</v>
      </c>
      <c r="E42" s="72" t="s">
        <v>1831</v>
      </c>
      <c r="F42" s="76" t="s">
        <v>1832</v>
      </c>
      <c r="G42" s="72" t="s">
        <v>1165</v>
      </c>
      <c r="H42" s="72" t="s">
        <v>18</v>
      </c>
      <c r="I42" s="72"/>
      <c r="J42" s="77"/>
      <c r="K42" s="77"/>
      <c r="L42" s="77"/>
      <c r="M42" s="78" t="s">
        <v>1824</v>
      </c>
      <c r="N42" s="78" t="s">
        <v>1825</v>
      </c>
      <c r="O42" s="78"/>
      <c r="P42" s="80">
        <v>49.79</v>
      </c>
    </row>
    <row r="43" spans="1:16" x14ac:dyDescent="0.25">
      <c r="A43" s="72" t="s">
        <v>546</v>
      </c>
      <c r="B43" s="72" t="s">
        <v>1859</v>
      </c>
      <c r="C43" s="74">
        <v>2017</v>
      </c>
      <c r="D43" s="81">
        <v>76.61</v>
      </c>
      <c r="E43" s="72" t="s">
        <v>1831</v>
      </c>
      <c r="F43" s="76" t="s">
        <v>1832</v>
      </c>
      <c r="G43" s="72" t="s">
        <v>1165</v>
      </c>
      <c r="H43" s="72" t="s">
        <v>18</v>
      </c>
      <c r="I43" s="72"/>
      <c r="J43" s="77"/>
      <c r="K43" s="77"/>
      <c r="L43" s="77"/>
      <c r="M43" s="78" t="s">
        <v>1824</v>
      </c>
      <c r="N43" s="78" t="s">
        <v>1825</v>
      </c>
      <c r="O43" s="78"/>
      <c r="P43" s="80">
        <v>76.61</v>
      </c>
    </row>
    <row r="44" spans="1:16" x14ac:dyDescent="0.25">
      <c r="A44" s="72" t="s">
        <v>550</v>
      </c>
      <c r="B44" s="72" t="s">
        <v>1860</v>
      </c>
      <c r="C44" s="74">
        <v>2017</v>
      </c>
      <c r="D44" s="81">
        <v>49.52</v>
      </c>
      <c r="E44" s="72" t="s">
        <v>1831</v>
      </c>
      <c r="F44" s="76" t="s">
        <v>1832</v>
      </c>
      <c r="G44" s="72" t="s">
        <v>1165</v>
      </c>
      <c r="H44" s="72" t="s">
        <v>18</v>
      </c>
      <c r="I44" s="72" t="s">
        <v>1861</v>
      </c>
      <c r="J44" s="81">
        <v>16.190000000000001</v>
      </c>
      <c r="K44" s="77"/>
      <c r="L44" s="77"/>
      <c r="M44" s="78" t="s">
        <v>1824</v>
      </c>
      <c r="N44" s="78" t="s">
        <v>1825</v>
      </c>
      <c r="O44" s="78"/>
      <c r="P44" s="80">
        <v>49.52</v>
      </c>
    </row>
    <row r="45" spans="1:16" x14ac:dyDescent="0.25">
      <c r="A45" s="72" t="s">
        <v>502</v>
      </c>
      <c r="B45" s="72" t="s">
        <v>1862</v>
      </c>
      <c r="C45" s="74">
        <v>2017</v>
      </c>
      <c r="D45" s="81">
        <v>64.739999999999995</v>
      </c>
      <c r="E45" s="72" t="s">
        <v>1831</v>
      </c>
      <c r="F45" s="76" t="s">
        <v>1832</v>
      </c>
      <c r="G45" s="72" t="s">
        <v>1165</v>
      </c>
      <c r="H45" s="72" t="s">
        <v>18</v>
      </c>
      <c r="I45" s="72" t="s">
        <v>1863</v>
      </c>
      <c r="J45" s="81">
        <v>16.190000000000001</v>
      </c>
      <c r="K45" s="77"/>
      <c r="L45" s="77"/>
      <c r="M45" s="78" t="s">
        <v>1824</v>
      </c>
      <c r="N45" s="78" t="s">
        <v>1825</v>
      </c>
      <c r="O45" s="78"/>
      <c r="P45" s="80">
        <v>64.739999999999995</v>
      </c>
    </row>
    <row r="46" spans="1:16" x14ac:dyDescent="0.25">
      <c r="A46" s="72" t="s">
        <v>536</v>
      </c>
      <c r="B46" s="72" t="s">
        <v>1864</v>
      </c>
      <c r="C46" s="74">
        <v>2017</v>
      </c>
      <c r="D46" s="81">
        <v>104.43</v>
      </c>
      <c r="E46" s="72" t="s">
        <v>1831</v>
      </c>
      <c r="F46" s="76" t="s">
        <v>1832</v>
      </c>
      <c r="G46" s="72" t="s">
        <v>1165</v>
      </c>
      <c r="H46" s="72" t="s">
        <v>18</v>
      </c>
      <c r="I46" s="72" t="s">
        <v>1865</v>
      </c>
      <c r="J46" s="81">
        <v>16.190000000000001</v>
      </c>
      <c r="K46" s="77"/>
      <c r="L46" s="77"/>
      <c r="M46" s="78" t="s">
        <v>1824</v>
      </c>
      <c r="N46" s="78" t="s">
        <v>1825</v>
      </c>
      <c r="O46" s="78"/>
      <c r="P46" s="80">
        <v>104.43</v>
      </c>
    </row>
    <row r="47" spans="1:16" x14ac:dyDescent="0.25">
      <c r="A47" s="72" t="s">
        <v>399</v>
      </c>
      <c r="B47" s="72" t="s">
        <v>1365</v>
      </c>
      <c r="C47" s="74">
        <v>2017</v>
      </c>
      <c r="D47" s="81">
        <v>123.37</v>
      </c>
      <c r="E47" s="72" t="s">
        <v>1831</v>
      </c>
      <c r="F47" s="76" t="s">
        <v>1832</v>
      </c>
      <c r="G47" s="72" t="s">
        <v>1852</v>
      </c>
      <c r="H47" s="72" t="s">
        <v>18</v>
      </c>
      <c r="I47" s="72" t="s">
        <v>1866</v>
      </c>
      <c r="J47" s="81">
        <v>16.190000000000001</v>
      </c>
      <c r="K47" s="77"/>
      <c r="L47" s="77"/>
      <c r="M47" s="78" t="s">
        <v>1824</v>
      </c>
      <c r="N47" s="78" t="s">
        <v>1825</v>
      </c>
      <c r="O47" s="78"/>
      <c r="P47" s="80">
        <v>123.37</v>
      </c>
    </row>
    <row r="48" spans="1:16" x14ac:dyDescent="0.25">
      <c r="A48" s="72" t="s">
        <v>556</v>
      </c>
      <c r="B48" s="72" t="s">
        <v>1867</v>
      </c>
      <c r="C48" s="74">
        <v>2017</v>
      </c>
      <c r="D48" s="81">
        <v>104.43</v>
      </c>
      <c r="E48" s="72" t="s">
        <v>1831</v>
      </c>
      <c r="F48" s="76" t="s">
        <v>1832</v>
      </c>
      <c r="G48" s="72" t="s">
        <v>1165</v>
      </c>
      <c r="H48" s="72" t="s">
        <v>18</v>
      </c>
      <c r="I48" s="72" t="s">
        <v>1868</v>
      </c>
      <c r="J48" s="81">
        <v>16.190000000000001</v>
      </c>
      <c r="K48" s="77"/>
      <c r="L48" s="77"/>
      <c r="M48" s="78" t="s">
        <v>1824</v>
      </c>
      <c r="N48" s="78" t="s">
        <v>1825</v>
      </c>
      <c r="O48" s="78"/>
      <c r="P48" s="80">
        <v>104.43</v>
      </c>
    </row>
    <row r="49" spans="1:16" x14ac:dyDescent="0.25">
      <c r="A49" s="72" t="s">
        <v>409</v>
      </c>
      <c r="B49" s="72" t="s">
        <v>1869</v>
      </c>
      <c r="C49" s="74">
        <v>2017</v>
      </c>
      <c r="D49" s="81">
        <v>85.6</v>
      </c>
      <c r="E49" s="72" t="s">
        <v>1831</v>
      </c>
      <c r="F49" s="76" t="s">
        <v>1832</v>
      </c>
      <c r="G49" s="72" t="s">
        <v>1852</v>
      </c>
      <c r="H49" s="72" t="s">
        <v>18</v>
      </c>
      <c r="I49" s="76" t="s">
        <v>1870</v>
      </c>
      <c r="J49" s="81">
        <v>16.190000000000001</v>
      </c>
      <c r="K49" s="77"/>
      <c r="L49" s="77"/>
      <c r="M49" s="78" t="s">
        <v>1824</v>
      </c>
      <c r="N49" s="78" t="s">
        <v>1825</v>
      </c>
      <c r="O49" s="78"/>
      <c r="P49" s="80">
        <v>85.6</v>
      </c>
    </row>
    <row r="50" spans="1:16" x14ac:dyDescent="0.25">
      <c r="A50" s="72" t="s">
        <v>392</v>
      </c>
      <c r="B50" s="72" t="s">
        <v>1367</v>
      </c>
      <c r="C50" s="74">
        <v>2017</v>
      </c>
      <c r="D50" s="81">
        <v>83.19</v>
      </c>
      <c r="E50" s="72" t="s">
        <v>1831</v>
      </c>
      <c r="F50" s="76" t="s">
        <v>1832</v>
      </c>
      <c r="G50" s="72" t="s">
        <v>1852</v>
      </c>
      <c r="H50" s="72" t="s">
        <v>18</v>
      </c>
      <c r="I50" s="72" t="s">
        <v>1871</v>
      </c>
      <c r="J50" s="81">
        <v>16.190000000000001</v>
      </c>
      <c r="K50" s="77"/>
      <c r="L50" s="77"/>
      <c r="M50" s="78" t="s">
        <v>1824</v>
      </c>
      <c r="N50" s="78" t="s">
        <v>1825</v>
      </c>
      <c r="O50" s="78"/>
      <c r="P50" s="80">
        <v>83.19</v>
      </c>
    </row>
    <row r="51" spans="1:16" x14ac:dyDescent="0.25">
      <c r="A51" s="72" t="s">
        <v>390</v>
      </c>
      <c r="B51" s="72" t="s">
        <v>1368</v>
      </c>
      <c r="C51" s="74">
        <v>2017</v>
      </c>
      <c r="D51" s="81">
        <v>123.37</v>
      </c>
      <c r="E51" s="72" t="s">
        <v>1831</v>
      </c>
      <c r="F51" s="76" t="s">
        <v>1832</v>
      </c>
      <c r="G51" s="72" t="s">
        <v>1852</v>
      </c>
      <c r="H51" s="72" t="s">
        <v>18</v>
      </c>
      <c r="I51" s="72" t="s">
        <v>1872</v>
      </c>
      <c r="J51" s="81">
        <v>16.190000000000001</v>
      </c>
      <c r="K51" s="77"/>
      <c r="L51" s="77"/>
      <c r="M51" s="78" t="s">
        <v>1824</v>
      </c>
      <c r="N51" s="78" t="s">
        <v>1825</v>
      </c>
      <c r="O51" s="78"/>
      <c r="P51" s="80">
        <v>123.37</v>
      </c>
    </row>
    <row r="52" spans="1:16" x14ac:dyDescent="0.25">
      <c r="A52" s="72" t="s">
        <v>401</v>
      </c>
      <c r="B52" s="72" t="s">
        <v>1369</v>
      </c>
      <c r="C52" s="74">
        <v>2017</v>
      </c>
      <c r="D52" s="81">
        <v>149.87</v>
      </c>
      <c r="E52" s="72" t="s">
        <v>1831</v>
      </c>
      <c r="F52" s="76" t="s">
        <v>1832</v>
      </c>
      <c r="G52" s="72" t="s">
        <v>1852</v>
      </c>
      <c r="H52" s="72" t="s">
        <v>18</v>
      </c>
      <c r="I52" s="72" t="s">
        <v>1873</v>
      </c>
      <c r="J52" s="81">
        <v>16.190000000000001</v>
      </c>
      <c r="K52" s="77"/>
      <c r="L52" s="77"/>
      <c r="M52" s="78" t="s">
        <v>1824</v>
      </c>
      <c r="N52" s="78" t="s">
        <v>1825</v>
      </c>
      <c r="O52" s="78"/>
      <c r="P52" s="80">
        <v>149.87</v>
      </c>
    </row>
    <row r="53" spans="1:16" x14ac:dyDescent="0.25">
      <c r="A53" s="72" t="s">
        <v>540</v>
      </c>
      <c r="B53" s="72" t="s">
        <v>1874</v>
      </c>
      <c r="C53" s="74">
        <v>2017</v>
      </c>
      <c r="D53" s="81">
        <v>50.22</v>
      </c>
      <c r="E53" s="72" t="s">
        <v>1831</v>
      </c>
      <c r="F53" s="76" t="s">
        <v>1832</v>
      </c>
      <c r="G53" s="72" t="s">
        <v>1165</v>
      </c>
      <c r="H53" s="72" t="s">
        <v>18</v>
      </c>
      <c r="I53" s="72"/>
      <c r="J53" s="77"/>
      <c r="K53" s="77"/>
      <c r="L53" s="77"/>
      <c r="M53" s="78" t="s">
        <v>1824</v>
      </c>
      <c r="N53" s="78" t="s">
        <v>1825</v>
      </c>
      <c r="O53" s="78"/>
      <c r="P53" s="80">
        <v>50.22</v>
      </c>
    </row>
    <row r="54" spans="1:16" x14ac:dyDescent="0.25">
      <c r="A54" s="72" t="s">
        <v>492</v>
      </c>
      <c r="B54" s="72" t="s">
        <v>1875</v>
      </c>
      <c r="C54" s="74">
        <v>2017</v>
      </c>
      <c r="D54" s="81">
        <v>56.81</v>
      </c>
      <c r="E54" s="72" t="s">
        <v>1831</v>
      </c>
      <c r="F54" s="76" t="s">
        <v>1832</v>
      </c>
      <c r="G54" s="72" t="s">
        <v>1165</v>
      </c>
      <c r="H54" s="72" t="s">
        <v>18</v>
      </c>
      <c r="I54" s="72"/>
      <c r="J54" s="77"/>
      <c r="K54" s="77"/>
      <c r="L54" s="77"/>
      <c r="M54" s="78" t="s">
        <v>1824</v>
      </c>
      <c r="N54" s="78" t="s">
        <v>1825</v>
      </c>
      <c r="O54" s="78"/>
      <c r="P54" s="80">
        <v>56.81</v>
      </c>
    </row>
    <row r="55" spans="1:16" x14ac:dyDescent="0.25">
      <c r="A55" s="72" t="s">
        <v>518</v>
      </c>
      <c r="B55" s="72" t="s">
        <v>1876</v>
      </c>
      <c r="C55" s="74">
        <v>2017</v>
      </c>
      <c r="D55" s="81">
        <v>60.85</v>
      </c>
      <c r="E55" s="72" t="s">
        <v>1831</v>
      </c>
      <c r="F55" s="76" t="s">
        <v>1832</v>
      </c>
      <c r="G55" s="72" t="s">
        <v>1165</v>
      </c>
      <c r="H55" s="72" t="s">
        <v>18</v>
      </c>
      <c r="I55" s="72"/>
      <c r="J55" s="77"/>
      <c r="K55" s="77"/>
      <c r="L55" s="77"/>
      <c r="M55" s="78" t="s">
        <v>1824</v>
      </c>
      <c r="N55" s="78" t="s">
        <v>1825</v>
      </c>
      <c r="O55" s="78"/>
      <c r="P55" s="80">
        <v>60.85</v>
      </c>
    </row>
    <row r="56" spans="1:16" x14ac:dyDescent="0.25">
      <c r="A56" s="72" t="s">
        <v>560</v>
      </c>
      <c r="B56" s="72" t="s">
        <v>1877</v>
      </c>
      <c r="C56" s="74">
        <v>2017</v>
      </c>
      <c r="D56" s="81">
        <v>55.54</v>
      </c>
      <c r="E56" s="72" t="s">
        <v>1831</v>
      </c>
      <c r="F56" s="76" t="s">
        <v>1832</v>
      </c>
      <c r="G56" s="72" t="s">
        <v>1165</v>
      </c>
      <c r="H56" s="72" t="s">
        <v>18</v>
      </c>
      <c r="I56" s="72" t="s">
        <v>1878</v>
      </c>
      <c r="J56" s="81">
        <v>16.190000000000001</v>
      </c>
      <c r="K56" s="77"/>
      <c r="L56" s="77"/>
      <c r="M56" s="78" t="s">
        <v>1824</v>
      </c>
      <c r="N56" s="78" t="s">
        <v>1825</v>
      </c>
      <c r="O56" s="78"/>
      <c r="P56" s="80">
        <v>55.54</v>
      </c>
    </row>
    <row r="57" spans="1:16" x14ac:dyDescent="0.25">
      <c r="A57" s="72" t="s">
        <v>510</v>
      </c>
      <c r="B57" s="72" t="s">
        <v>1879</v>
      </c>
      <c r="C57" s="74">
        <v>2017</v>
      </c>
      <c r="D57" s="81">
        <v>66.900000000000006</v>
      </c>
      <c r="E57" s="72" t="s">
        <v>1831</v>
      </c>
      <c r="F57" s="76" t="s">
        <v>1832</v>
      </c>
      <c r="G57" s="72" t="s">
        <v>1165</v>
      </c>
      <c r="H57" s="72" t="s">
        <v>18</v>
      </c>
      <c r="I57" s="72" t="s">
        <v>1880</v>
      </c>
      <c r="J57" s="81">
        <v>16.190000000000001</v>
      </c>
      <c r="K57" s="77"/>
      <c r="L57" s="77"/>
      <c r="M57" s="78" t="s">
        <v>1824</v>
      </c>
      <c r="N57" s="78" t="s">
        <v>1825</v>
      </c>
      <c r="O57" s="78"/>
      <c r="P57" s="80">
        <v>66.900000000000006</v>
      </c>
    </row>
    <row r="58" spans="1:16" x14ac:dyDescent="0.25">
      <c r="A58" s="72" t="s">
        <v>554</v>
      </c>
      <c r="B58" s="72" t="s">
        <v>1881</v>
      </c>
      <c r="C58" s="74">
        <v>2017</v>
      </c>
      <c r="D58" s="81">
        <v>83.82</v>
      </c>
      <c r="E58" s="72" t="s">
        <v>1831</v>
      </c>
      <c r="F58" s="76" t="s">
        <v>1832</v>
      </c>
      <c r="G58" s="72" t="s">
        <v>1165</v>
      </c>
      <c r="H58" s="72" t="s">
        <v>18</v>
      </c>
      <c r="I58" s="72" t="s">
        <v>1882</v>
      </c>
      <c r="J58" s="81">
        <v>16.190000000000001</v>
      </c>
      <c r="K58" s="77"/>
      <c r="L58" s="77"/>
      <c r="M58" s="78" t="s">
        <v>1824</v>
      </c>
      <c r="N58" s="78" t="s">
        <v>1825</v>
      </c>
      <c r="O58" s="78"/>
      <c r="P58" s="80">
        <v>83.82</v>
      </c>
    </row>
    <row r="59" spans="1:16" x14ac:dyDescent="0.25">
      <c r="A59" s="72" t="s">
        <v>405</v>
      </c>
      <c r="B59" s="72" t="s">
        <v>1370</v>
      </c>
      <c r="C59" s="74">
        <v>2017</v>
      </c>
      <c r="D59" s="81">
        <v>73.55</v>
      </c>
      <c r="E59" s="72" t="s">
        <v>1831</v>
      </c>
      <c r="F59" s="76" t="s">
        <v>1832</v>
      </c>
      <c r="G59" s="72" t="s">
        <v>1852</v>
      </c>
      <c r="H59" s="72" t="s">
        <v>18</v>
      </c>
      <c r="I59" s="72"/>
      <c r="J59" s="77"/>
      <c r="K59" s="77"/>
      <c r="L59" s="77"/>
      <c r="M59" s="78" t="s">
        <v>1824</v>
      </c>
      <c r="N59" s="78" t="s">
        <v>1825</v>
      </c>
      <c r="O59" s="78"/>
      <c r="P59" s="80">
        <v>73.55</v>
      </c>
    </row>
    <row r="60" spans="1:16" x14ac:dyDescent="0.25">
      <c r="A60" s="72" t="s">
        <v>417</v>
      </c>
      <c r="B60" s="72" t="s">
        <v>1371</v>
      </c>
      <c r="C60" s="74">
        <v>2017</v>
      </c>
      <c r="D60" s="81">
        <v>80.23</v>
      </c>
      <c r="E60" s="72" t="s">
        <v>1831</v>
      </c>
      <c r="F60" s="76" t="s">
        <v>1832</v>
      </c>
      <c r="G60" s="72" t="s">
        <v>1852</v>
      </c>
      <c r="H60" s="72" t="s">
        <v>18</v>
      </c>
      <c r="I60" s="72"/>
      <c r="J60" s="77"/>
      <c r="K60" s="77"/>
      <c r="L60" s="77"/>
      <c r="M60" s="78" t="s">
        <v>1824</v>
      </c>
      <c r="N60" s="78" t="s">
        <v>1825</v>
      </c>
      <c r="O60" s="78"/>
      <c r="P60" s="80">
        <v>80.23</v>
      </c>
    </row>
    <row r="61" spans="1:16" x14ac:dyDescent="0.25">
      <c r="A61" s="72" t="s">
        <v>407</v>
      </c>
      <c r="B61" s="72" t="s">
        <v>1372</v>
      </c>
      <c r="C61" s="74">
        <v>2017</v>
      </c>
      <c r="D61" s="81">
        <v>84.32</v>
      </c>
      <c r="E61" s="72" t="s">
        <v>1831</v>
      </c>
      <c r="F61" s="76" t="s">
        <v>1832</v>
      </c>
      <c r="G61" s="72" t="s">
        <v>1852</v>
      </c>
      <c r="H61" s="72" t="s">
        <v>18</v>
      </c>
      <c r="I61" s="72"/>
      <c r="J61" s="77"/>
      <c r="K61" s="77"/>
      <c r="L61" s="77"/>
      <c r="M61" s="78" t="s">
        <v>1824</v>
      </c>
      <c r="N61" s="78" t="s">
        <v>1825</v>
      </c>
      <c r="O61" s="78"/>
      <c r="P61" s="80">
        <v>84.32</v>
      </c>
    </row>
    <row r="62" spans="1:16" x14ac:dyDescent="0.25">
      <c r="A62" s="72" t="s">
        <v>542</v>
      </c>
      <c r="B62" s="72" t="s">
        <v>1883</v>
      </c>
      <c r="C62" s="74">
        <v>2017</v>
      </c>
      <c r="D62" s="81">
        <v>51.22</v>
      </c>
      <c r="E62" s="72" t="s">
        <v>1831</v>
      </c>
      <c r="F62" s="76" t="s">
        <v>1832</v>
      </c>
      <c r="G62" s="72" t="s">
        <v>1165</v>
      </c>
      <c r="H62" s="72" t="s">
        <v>18</v>
      </c>
      <c r="I62" s="72"/>
      <c r="J62" s="77"/>
      <c r="K62" s="77"/>
      <c r="L62" s="77"/>
      <c r="M62" s="78" t="s">
        <v>1824</v>
      </c>
      <c r="N62" s="78" t="s">
        <v>1825</v>
      </c>
      <c r="O62" s="78"/>
      <c r="P62" s="80">
        <v>51.22</v>
      </c>
    </row>
    <row r="63" spans="1:16" x14ac:dyDescent="0.25">
      <c r="A63" s="72" t="s">
        <v>532</v>
      </c>
      <c r="B63" s="72" t="s">
        <v>1884</v>
      </c>
      <c r="C63" s="74">
        <v>2017</v>
      </c>
      <c r="D63" s="81">
        <v>62.35</v>
      </c>
      <c r="E63" s="72" t="s">
        <v>1831</v>
      </c>
      <c r="F63" s="76" t="s">
        <v>1832</v>
      </c>
      <c r="G63" s="72" t="s">
        <v>1165</v>
      </c>
      <c r="H63" s="72" t="s">
        <v>18</v>
      </c>
      <c r="I63" s="72"/>
      <c r="J63" s="77"/>
      <c r="K63" s="77"/>
      <c r="L63" s="77"/>
      <c r="M63" s="78" t="s">
        <v>1824</v>
      </c>
      <c r="N63" s="78" t="s">
        <v>1825</v>
      </c>
      <c r="O63" s="78"/>
      <c r="P63" s="80">
        <v>62.35</v>
      </c>
    </row>
    <row r="64" spans="1:16" x14ac:dyDescent="0.25">
      <c r="A64" s="72" t="s">
        <v>498</v>
      </c>
      <c r="B64" s="72" t="s">
        <v>1885</v>
      </c>
      <c r="C64" s="74">
        <v>2017</v>
      </c>
      <c r="D64" s="81">
        <v>69.8</v>
      </c>
      <c r="E64" s="72" t="s">
        <v>1831</v>
      </c>
      <c r="F64" s="76" t="s">
        <v>1832</v>
      </c>
      <c r="G64" s="72" t="s">
        <v>1165</v>
      </c>
      <c r="H64" s="72" t="s">
        <v>18</v>
      </c>
      <c r="I64" s="72"/>
      <c r="J64" s="77"/>
      <c r="K64" s="77"/>
      <c r="L64" s="77"/>
      <c r="M64" s="78" t="s">
        <v>1824</v>
      </c>
      <c r="N64" s="78" t="s">
        <v>1825</v>
      </c>
      <c r="O64" s="78"/>
      <c r="P64" s="80">
        <v>69.8</v>
      </c>
    </row>
    <row r="65" spans="1:16" x14ac:dyDescent="0.25">
      <c r="A65" s="72" t="s">
        <v>530</v>
      </c>
      <c r="B65" s="72" t="s">
        <v>1886</v>
      </c>
      <c r="C65" s="74">
        <v>2017</v>
      </c>
      <c r="D65" s="81">
        <v>60.65</v>
      </c>
      <c r="E65" s="72" t="s">
        <v>1831</v>
      </c>
      <c r="F65" s="76" t="s">
        <v>1832</v>
      </c>
      <c r="G65" s="72" t="s">
        <v>1165</v>
      </c>
      <c r="H65" s="72" t="s">
        <v>18</v>
      </c>
      <c r="I65" s="72" t="s">
        <v>1887</v>
      </c>
      <c r="J65" s="81">
        <v>16.190000000000001</v>
      </c>
      <c r="K65" s="77"/>
      <c r="L65" s="77"/>
      <c r="M65" s="78" t="s">
        <v>1824</v>
      </c>
      <c r="N65" s="78" t="s">
        <v>1825</v>
      </c>
      <c r="O65" s="78"/>
      <c r="P65" s="80">
        <v>60.65</v>
      </c>
    </row>
    <row r="66" spans="1:16" x14ac:dyDescent="0.25">
      <c r="A66" s="72" t="s">
        <v>516</v>
      </c>
      <c r="B66" s="72" t="s">
        <v>1888</v>
      </c>
      <c r="C66" s="74">
        <v>2017</v>
      </c>
      <c r="D66" s="81">
        <v>76.540000000000006</v>
      </c>
      <c r="E66" s="72" t="s">
        <v>1831</v>
      </c>
      <c r="F66" s="76" t="s">
        <v>1832</v>
      </c>
      <c r="G66" s="72" t="s">
        <v>1165</v>
      </c>
      <c r="H66" s="72" t="s">
        <v>18</v>
      </c>
      <c r="I66" s="72" t="s">
        <v>1889</v>
      </c>
      <c r="J66" s="81">
        <v>16.190000000000001</v>
      </c>
      <c r="K66" s="77"/>
      <c r="L66" s="77"/>
      <c r="M66" s="78" t="s">
        <v>1824</v>
      </c>
      <c r="N66" s="78" t="s">
        <v>1825</v>
      </c>
      <c r="O66" s="78"/>
      <c r="P66" s="80">
        <v>76.540000000000006</v>
      </c>
    </row>
    <row r="67" spans="1:16" x14ac:dyDescent="0.25">
      <c r="A67" s="72" t="s">
        <v>494</v>
      </c>
      <c r="B67" s="72" t="s">
        <v>1890</v>
      </c>
      <c r="C67" s="74">
        <v>2017</v>
      </c>
      <c r="D67" s="81">
        <v>96.87</v>
      </c>
      <c r="E67" s="72" t="s">
        <v>1831</v>
      </c>
      <c r="F67" s="76" t="s">
        <v>1832</v>
      </c>
      <c r="G67" s="72" t="s">
        <v>1165</v>
      </c>
      <c r="H67" s="72" t="s">
        <v>18</v>
      </c>
      <c r="I67" s="72" t="s">
        <v>1891</v>
      </c>
      <c r="J67" s="81">
        <v>16.190000000000001</v>
      </c>
      <c r="K67" s="77"/>
      <c r="L67" s="77"/>
      <c r="M67" s="78" t="s">
        <v>1824</v>
      </c>
      <c r="N67" s="78" t="s">
        <v>1825</v>
      </c>
      <c r="O67" s="78"/>
      <c r="P67" s="80">
        <v>96.87</v>
      </c>
    </row>
    <row r="68" spans="1:16" x14ac:dyDescent="0.25">
      <c r="A68" s="72" t="s">
        <v>512</v>
      </c>
      <c r="B68" s="72" t="s">
        <v>1892</v>
      </c>
      <c r="C68" s="74">
        <v>2017</v>
      </c>
      <c r="D68" s="81">
        <v>39.15</v>
      </c>
      <c r="E68" s="72" t="s">
        <v>1831</v>
      </c>
      <c r="F68" s="76" t="s">
        <v>1832</v>
      </c>
      <c r="G68" s="72" t="s">
        <v>1165</v>
      </c>
      <c r="H68" s="72" t="s">
        <v>18</v>
      </c>
      <c r="I68" s="72" t="s">
        <v>1893</v>
      </c>
      <c r="J68" s="80"/>
      <c r="K68" s="77"/>
      <c r="L68" s="77"/>
      <c r="M68" s="78" t="s">
        <v>1824</v>
      </c>
      <c r="N68" s="78" t="s">
        <v>1825</v>
      </c>
      <c r="O68" s="78"/>
      <c r="P68" s="80">
        <v>39.15</v>
      </c>
    </row>
    <row r="69" spans="1:16" x14ac:dyDescent="0.25">
      <c r="A69" s="72" t="s">
        <v>534</v>
      </c>
      <c r="B69" s="72" t="s">
        <v>1894</v>
      </c>
      <c r="C69" s="74">
        <v>2017</v>
      </c>
      <c r="D69" s="81">
        <v>44.63</v>
      </c>
      <c r="E69" s="72" t="s">
        <v>1831</v>
      </c>
      <c r="F69" s="76" t="s">
        <v>1832</v>
      </c>
      <c r="G69" s="72" t="s">
        <v>1165</v>
      </c>
      <c r="H69" s="72" t="s">
        <v>18</v>
      </c>
      <c r="I69" s="72" t="s">
        <v>1893</v>
      </c>
      <c r="J69" s="80"/>
      <c r="K69" s="77"/>
      <c r="L69" s="77"/>
      <c r="M69" s="78" t="s">
        <v>1824</v>
      </c>
      <c r="N69" s="78" t="s">
        <v>1825</v>
      </c>
      <c r="O69" s="78"/>
      <c r="P69" s="80">
        <v>44.63</v>
      </c>
    </row>
    <row r="70" spans="1:16" x14ac:dyDescent="0.25">
      <c r="A70" s="72" t="s">
        <v>526</v>
      </c>
      <c r="B70" s="72" t="s">
        <v>1895</v>
      </c>
      <c r="C70" s="74">
        <v>2017</v>
      </c>
      <c r="D70" s="81">
        <v>48.73</v>
      </c>
      <c r="E70" s="72" t="s">
        <v>1831</v>
      </c>
      <c r="F70" s="76" t="s">
        <v>1832</v>
      </c>
      <c r="G70" s="72" t="s">
        <v>1165</v>
      </c>
      <c r="H70" s="72" t="s">
        <v>18</v>
      </c>
      <c r="I70" s="72" t="s">
        <v>1893</v>
      </c>
      <c r="J70" s="80"/>
      <c r="K70" s="77"/>
      <c r="L70" s="77"/>
      <c r="M70" s="78" t="s">
        <v>1824</v>
      </c>
      <c r="N70" s="78" t="s">
        <v>1825</v>
      </c>
      <c r="O70" s="78"/>
      <c r="P70" s="80">
        <v>48.73</v>
      </c>
    </row>
    <row r="71" spans="1:16" x14ac:dyDescent="0.25">
      <c r="A71" s="72" t="s">
        <v>506</v>
      </c>
      <c r="B71" s="72" t="s">
        <v>1896</v>
      </c>
      <c r="C71" s="74">
        <v>2017</v>
      </c>
      <c r="D71" s="81">
        <v>48.58</v>
      </c>
      <c r="E71" s="72" t="s">
        <v>1831</v>
      </c>
      <c r="F71" s="76" t="s">
        <v>1832</v>
      </c>
      <c r="G71" s="72" t="s">
        <v>1165</v>
      </c>
      <c r="H71" s="72" t="s">
        <v>18</v>
      </c>
      <c r="I71" s="72" t="s">
        <v>1897</v>
      </c>
      <c r="J71" s="81">
        <v>16.190000000000001</v>
      </c>
      <c r="K71" s="77"/>
      <c r="L71" s="77"/>
      <c r="M71" s="78" t="s">
        <v>1824</v>
      </c>
      <c r="N71" s="78" t="s">
        <v>1825</v>
      </c>
      <c r="O71" s="78"/>
      <c r="P71" s="80">
        <v>48.58</v>
      </c>
    </row>
    <row r="72" spans="1:16" x14ac:dyDescent="0.25">
      <c r="A72" s="72" t="s">
        <v>538</v>
      </c>
      <c r="B72" s="72" t="s">
        <v>1898</v>
      </c>
      <c r="C72" s="74">
        <v>2017</v>
      </c>
      <c r="D72" s="81">
        <v>58.82</v>
      </c>
      <c r="E72" s="72" t="s">
        <v>1831</v>
      </c>
      <c r="F72" s="76" t="s">
        <v>1832</v>
      </c>
      <c r="G72" s="72" t="s">
        <v>1165</v>
      </c>
      <c r="H72" s="72" t="s">
        <v>18</v>
      </c>
      <c r="I72" s="72" t="s">
        <v>1899</v>
      </c>
      <c r="J72" s="81">
        <v>16.190000000000001</v>
      </c>
      <c r="K72" s="77"/>
      <c r="L72" s="77"/>
      <c r="M72" s="78" t="s">
        <v>1824</v>
      </c>
      <c r="N72" s="78" t="s">
        <v>1825</v>
      </c>
      <c r="O72" s="78"/>
      <c r="P72" s="80">
        <v>58.82</v>
      </c>
    </row>
    <row r="73" spans="1:16" x14ac:dyDescent="0.25">
      <c r="A73" s="72" t="s">
        <v>496</v>
      </c>
      <c r="B73" s="72" t="s">
        <v>1900</v>
      </c>
      <c r="C73" s="74">
        <v>2017</v>
      </c>
      <c r="D73" s="81">
        <v>75.8</v>
      </c>
      <c r="E73" s="72" t="s">
        <v>1831</v>
      </c>
      <c r="F73" s="76" t="s">
        <v>1832</v>
      </c>
      <c r="G73" s="72" t="s">
        <v>1165</v>
      </c>
      <c r="H73" s="72" t="s">
        <v>18</v>
      </c>
      <c r="I73" s="72" t="s">
        <v>1901</v>
      </c>
      <c r="J73" s="81">
        <v>16.190000000000001</v>
      </c>
      <c r="K73" s="77"/>
      <c r="L73" s="77"/>
      <c r="M73" s="78" t="s">
        <v>1824</v>
      </c>
      <c r="N73" s="78" t="s">
        <v>1825</v>
      </c>
      <c r="O73" s="78"/>
      <c r="P73" s="80">
        <v>75.8</v>
      </c>
    </row>
    <row r="74" spans="1:16" x14ac:dyDescent="0.25">
      <c r="A74" s="72" t="s">
        <v>415</v>
      </c>
      <c r="B74" s="72" t="s">
        <v>1902</v>
      </c>
      <c r="C74" s="74">
        <v>2017</v>
      </c>
      <c r="D74" s="81">
        <v>130.44999999999999</v>
      </c>
      <c r="E74" s="72" t="s">
        <v>1831</v>
      </c>
      <c r="F74" s="76" t="s">
        <v>1832</v>
      </c>
      <c r="G74" s="72" t="s">
        <v>1852</v>
      </c>
      <c r="H74" s="72" t="s">
        <v>18</v>
      </c>
      <c r="I74" s="72" t="s">
        <v>1893</v>
      </c>
      <c r="J74" s="77" t="s">
        <v>1893</v>
      </c>
      <c r="K74" s="77"/>
      <c r="L74" s="77"/>
      <c r="M74" s="78" t="s">
        <v>1824</v>
      </c>
      <c r="N74" s="78" t="s">
        <v>1825</v>
      </c>
      <c r="O74" s="78"/>
      <c r="P74" s="80">
        <v>130.44999999999999</v>
      </c>
    </row>
    <row r="75" spans="1:16" x14ac:dyDescent="0.25">
      <c r="A75" s="72" t="s">
        <v>413</v>
      </c>
      <c r="B75" s="72" t="s">
        <v>1360</v>
      </c>
      <c r="C75" s="74">
        <v>2017</v>
      </c>
      <c r="D75" s="81">
        <v>8.26</v>
      </c>
      <c r="E75" s="72" t="s">
        <v>1854</v>
      </c>
      <c r="F75" s="76" t="s">
        <v>1855</v>
      </c>
      <c r="G75" s="72" t="s">
        <v>1856</v>
      </c>
      <c r="H75" s="72" t="s">
        <v>18</v>
      </c>
      <c r="I75" s="72" t="s">
        <v>1893</v>
      </c>
      <c r="J75" s="77" t="s">
        <v>1893</v>
      </c>
      <c r="K75" s="77"/>
      <c r="L75" s="77"/>
      <c r="M75" s="78" t="s">
        <v>1824</v>
      </c>
      <c r="N75" s="78" t="s">
        <v>1825</v>
      </c>
      <c r="O75" s="78"/>
      <c r="P75" s="80">
        <v>8.26</v>
      </c>
    </row>
    <row r="76" spans="1:16" x14ac:dyDescent="0.25">
      <c r="A76" s="72" t="s">
        <v>429</v>
      </c>
      <c r="B76" s="72" t="s">
        <v>1361</v>
      </c>
      <c r="C76" s="74">
        <v>2017</v>
      </c>
      <c r="D76" s="81">
        <v>19.97</v>
      </c>
      <c r="E76" s="72" t="s">
        <v>1854</v>
      </c>
      <c r="F76" s="76" t="s">
        <v>1855</v>
      </c>
      <c r="G76" s="72" t="s">
        <v>1856</v>
      </c>
      <c r="H76" s="72" t="s">
        <v>18</v>
      </c>
      <c r="I76" s="72" t="s">
        <v>1893</v>
      </c>
      <c r="J76" s="77" t="s">
        <v>1893</v>
      </c>
      <c r="K76" s="77"/>
      <c r="L76" s="77"/>
      <c r="M76" s="78" t="s">
        <v>1824</v>
      </c>
      <c r="N76" s="78" t="s">
        <v>1825</v>
      </c>
      <c r="O76" s="78"/>
      <c r="P76" s="80">
        <v>19.97</v>
      </c>
    </row>
    <row r="77" spans="1:16" x14ac:dyDescent="0.25">
      <c r="A77" s="72" t="s">
        <v>17</v>
      </c>
      <c r="B77" s="72" t="s">
        <v>1903</v>
      </c>
      <c r="C77" s="74">
        <v>2017</v>
      </c>
      <c r="D77" s="81">
        <v>19.97</v>
      </c>
      <c r="E77" s="72" t="s">
        <v>1854</v>
      </c>
      <c r="F77" s="76" t="s">
        <v>1855</v>
      </c>
      <c r="G77" s="72" t="s">
        <v>1856</v>
      </c>
      <c r="H77" s="72" t="s">
        <v>18</v>
      </c>
      <c r="I77" s="72" t="s">
        <v>1893</v>
      </c>
      <c r="J77" s="77" t="s">
        <v>1893</v>
      </c>
      <c r="K77" s="77"/>
      <c r="L77" s="77"/>
      <c r="M77" s="78" t="s">
        <v>1824</v>
      </c>
      <c r="N77" s="78" t="s">
        <v>1825</v>
      </c>
      <c r="O77" s="78"/>
      <c r="P77" s="80">
        <v>19.97</v>
      </c>
    </row>
    <row r="78" spans="1:16" x14ac:dyDescent="0.25">
      <c r="A78" s="72" t="s">
        <v>9</v>
      </c>
      <c r="B78" s="72" t="s">
        <v>1904</v>
      </c>
      <c r="C78" s="74">
        <v>2017</v>
      </c>
      <c r="D78" s="81">
        <v>28.05</v>
      </c>
      <c r="E78" s="72" t="s">
        <v>1831</v>
      </c>
      <c r="F78" s="76" t="s">
        <v>1832</v>
      </c>
      <c r="G78" s="72" t="s">
        <v>1165</v>
      </c>
      <c r="H78" s="72" t="s">
        <v>1905</v>
      </c>
      <c r="I78" s="72" t="s">
        <v>1893</v>
      </c>
      <c r="J78" s="77" t="s">
        <v>1893</v>
      </c>
      <c r="K78" s="77"/>
      <c r="L78" s="77"/>
      <c r="M78" s="78" t="s">
        <v>1824</v>
      </c>
      <c r="N78" s="78" t="s">
        <v>1825</v>
      </c>
      <c r="O78" s="78"/>
      <c r="P78" s="80">
        <v>28.05</v>
      </c>
    </row>
    <row r="79" spans="1:16" x14ac:dyDescent="0.25">
      <c r="A79" s="72" t="s">
        <v>15</v>
      </c>
      <c r="B79" s="72" t="s">
        <v>1906</v>
      </c>
      <c r="C79" s="74">
        <v>2017</v>
      </c>
      <c r="D79" s="81">
        <v>38.39</v>
      </c>
      <c r="E79" s="72" t="s">
        <v>1831</v>
      </c>
      <c r="F79" s="76" t="s">
        <v>1832</v>
      </c>
      <c r="G79" s="72" t="s">
        <v>1165</v>
      </c>
      <c r="H79" s="72" t="s">
        <v>1905</v>
      </c>
      <c r="I79" s="72" t="s">
        <v>1893</v>
      </c>
      <c r="J79" s="77" t="s">
        <v>1893</v>
      </c>
      <c r="K79" s="77"/>
      <c r="L79" s="77"/>
      <c r="M79" s="78" t="s">
        <v>1824</v>
      </c>
      <c r="N79" s="78" t="s">
        <v>1825</v>
      </c>
      <c r="O79" s="78"/>
      <c r="P79" s="80">
        <v>38.39</v>
      </c>
    </row>
    <row r="80" spans="1:16" x14ac:dyDescent="0.25">
      <c r="A80" s="72" t="s">
        <v>11</v>
      </c>
      <c r="B80" s="72" t="s">
        <v>1907</v>
      </c>
      <c r="C80" s="74">
        <v>2017</v>
      </c>
      <c r="D80" s="81">
        <v>64.89</v>
      </c>
      <c r="E80" s="72" t="s">
        <v>1831</v>
      </c>
      <c r="F80" s="76" t="s">
        <v>1832</v>
      </c>
      <c r="G80" s="72" t="s">
        <v>1165</v>
      </c>
      <c r="H80" s="72" t="s">
        <v>1905</v>
      </c>
      <c r="I80" s="72" t="s">
        <v>1893</v>
      </c>
      <c r="J80" s="77" t="s">
        <v>1893</v>
      </c>
      <c r="K80" s="77"/>
      <c r="L80" s="77"/>
      <c r="M80" s="78" t="s">
        <v>1824</v>
      </c>
      <c r="N80" s="78" t="s">
        <v>1825</v>
      </c>
      <c r="O80" s="78"/>
      <c r="P80" s="80">
        <v>64.89</v>
      </c>
    </row>
    <row r="81" spans="1:16" x14ac:dyDescent="0.25">
      <c r="A81" s="72" t="s">
        <v>480</v>
      </c>
      <c r="B81" s="72" t="s">
        <v>1908</v>
      </c>
      <c r="C81" s="74">
        <v>2017</v>
      </c>
      <c r="D81" s="81">
        <v>6.63</v>
      </c>
      <c r="E81" s="72" t="s">
        <v>1831</v>
      </c>
      <c r="F81" s="76" t="s">
        <v>1832</v>
      </c>
      <c r="G81" s="72" t="s">
        <v>1909</v>
      </c>
      <c r="H81" s="72" t="s">
        <v>1905</v>
      </c>
      <c r="I81" s="72" t="s">
        <v>1893</v>
      </c>
      <c r="J81" s="77" t="s">
        <v>1893</v>
      </c>
      <c r="K81" s="77"/>
      <c r="L81" s="77"/>
      <c r="M81" s="78" t="s">
        <v>1824</v>
      </c>
      <c r="N81" s="78" t="s">
        <v>1825</v>
      </c>
      <c r="O81" s="78"/>
      <c r="P81" s="80">
        <v>6.63</v>
      </c>
    </row>
    <row r="82" spans="1:16" x14ac:dyDescent="0.25">
      <c r="A82" s="72" t="s">
        <v>484</v>
      </c>
      <c r="B82" s="72" t="s">
        <v>1910</v>
      </c>
      <c r="C82" s="74">
        <v>2017</v>
      </c>
      <c r="D82" s="81">
        <v>1.08</v>
      </c>
      <c r="E82" s="72" t="s">
        <v>1831</v>
      </c>
      <c r="F82" s="76" t="s">
        <v>1832</v>
      </c>
      <c r="G82" s="72" t="s">
        <v>1911</v>
      </c>
      <c r="H82" s="72" t="s">
        <v>1905</v>
      </c>
      <c r="I82" s="72" t="s">
        <v>1893</v>
      </c>
      <c r="J82" s="77" t="s">
        <v>1893</v>
      </c>
      <c r="K82" s="77"/>
      <c r="L82" s="77"/>
      <c r="M82" s="78" t="s">
        <v>1824</v>
      </c>
      <c r="N82" s="78" t="s">
        <v>1825</v>
      </c>
      <c r="O82" s="78"/>
      <c r="P82" s="80">
        <v>1.08</v>
      </c>
    </row>
    <row r="83" spans="1:16" x14ac:dyDescent="0.25">
      <c r="A83" s="72" t="s">
        <v>447</v>
      </c>
      <c r="B83" s="72" t="s">
        <v>1912</v>
      </c>
      <c r="C83" s="74">
        <v>2017</v>
      </c>
      <c r="D83" s="81">
        <v>34.01</v>
      </c>
      <c r="E83" s="72" t="s">
        <v>1831</v>
      </c>
      <c r="F83" s="76" t="s">
        <v>1832</v>
      </c>
      <c r="G83" s="72" t="s">
        <v>1165</v>
      </c>
      <c r="H83" s="72" t="s">
        <v>1905</v>
      </c>
      <c r="I83" s="72" t="s">
        <v>1893</v>
      </c>
      <c r="J83" s="77" t="s">
        <v>1893</v>
      </c>
      <c r="K83" s="77"/>
      <c r="L83" s="77"/>
      <c r="M83" s="78" t="s">
        <v>1824</v>
      </c>
      <c r="N83" s="78" t="s">
        <v>1825</v>
      </c>
      <c r="O83" s="78"/>
      <c r="P83" s="80">
        <v>34.01</v>
      </c>
    </row>
    <row r="84" spans="1:16" x14ac:dyDescent="0.25">
      <c r="A84" s="72" t="s">
        <v>470</v>
      </c>
      <c r="B84" s="72" t="s">
        <v>1913</v>
      </c>
      <c r="C84" s="74">
        <v>2017</v>
      </c>
      <c r="D84" s="81">
        <v>40.520000000000003</v>
      </c>
      <c r="E84" s="72" t="s">
        <v>1831</v>
      </c>
      <c r="F84" s="76" t="s">
        <v>1832</v>
      </c>
      <c r="G84" s="72" t="s">
        <v>1165</v>
      </c>
      <c r="H84" s="72" t="s">
        <v>1905</v>
      </c>
      <c r="I84" s="72" t="s">
        <v>1893</v>
      </c>
      <c r="J84" s="77" t="s">
        <v>1893</v>
      </c>
      <c r="K84" s="77"/>
      <c r="L84" s="77"/>
      <c r="M84" s="78" t="s">
        <v>1824</v>
      </c>
      <c r="N84" s="78" t="s">
        <v>1825</v>
      </c>
      <c r="O84" s="78"/>
      <c r="P84" s="80">
        <v>40.520000000000003</v>
      </c>
    </row>
    <row r="85" spans="1:16" x14ac:dyDescent="0.25">
      <c r="A85" s="72" t="s">
        <v>444</v>
      </c>
      <c r="B85" s="72" t="s">
        <v>1914</v>
      </c>
      <c r="C85" s="74">
        <v>2017</v>
      </c>
      <c r="D85" s="81">
        <v>44.5</v>
      </c>
      <c r="E85" s="72" t="s">
        <v>1831</v>
      </c>
      <c r="F85" s="76" t="s">
        <v>1832</v>
      </c>
      <c r="G85" s="72" t="s">
        <v>1165</v>
      </c>
      <c r="H85" s="72" t="s">
        <v>1905</v>
      </c>
      <c r="I85" s="72" t="s">
        <v>1893</v>
      </c>
      <c r="J85" s="77" t="s">
        <v>1893</v>
      </c>
      <c r="K85" s="77"/>
      <c r="L85" s="77"/>
      <c r="M85" s="78" t="s">
        <v>1824</v>
      </c>
      <c r="N85" s="78" t="s">
        <v>1825</v>
      </c>
      <c r="O85" s="78"/>
      <c r="P85" s="80">
        <v>44.5</v>
      </c>
    </row>
    <row r="86" spans="1:16" x14ac:dyDescent="0.25">
      <c r="A86" s="72" t="s">
        <v>478</v>
      </c>
      <c r="B86" s="72" t="s">
        <v>1915</v>
      </c>
      <c r="C86" s="74">
        <v>2017</v>
      </c>
      <c r="D86" s="81">
        <v>10.72</v>
      </c>
      <c r="E86" s="72" t="s">
        <v>1831</v>
      </c>
      <c r="F86" s="76" t="s">
        <v>1832</v>
      </c>
      <c r="G86" s="72" t="s">
        <v>1909</v>
      </c>
      <c r="H86" s="72" t="s">
        <v>1905</v>
      </c>
      <c r="I86" s="72" t="s">
        <v>1893</v>
      </c>
      <c r="J86" s="77" t="s">
        <v>1893</v>
      </c>
      <c r="K86" s="77"/>
      <c r="L86" s="77"/>
      <c r="M86" s="78" t="s">
        <v>1824</v>
      </c>
      <c r="N86" s="78" t="s">
        <v>1825</v>
      </c>
      <c r="O86" s="78"/>
      <c r="P86" s="80">
        <v>10.72</v>
      </c>
    </row>
    <row r="87" spans="1:16" x14ac:dyDescent="0.25">
      <c r="A87" s="72" t="s">
        <v>439</v>
      </c>
      <c r="B87" s="72" t="s">
        <v>1916</v>
      </c>
      <c r="C87" s="74">
        <v>2017</v>
      </c>
      <c r="D87" s="81">
        <v>1.43</v>
      </c>
      <c r="E87" s="72" t="s">
        <v>1831</v>
      </c>
      <c r="F87" s="76" t="s">
        <v>1832</v>
      </c>
      <c r="G87" s="72" t="s">
        <v>1911</v>
      </c>
      <c r="H87" s="72" t="s">
        <v>1905</v>
      </c>
      <c r="I87" s="72" t="s">
        <v>1893</v>
      </c>
      <c r="J87" s="77" t="s">
        <v>1893</v>
      </c>
      <c r="K87" s="77"/>
      <c r="L87" s="77"/>
      <c r="M87" s="78" t="s">
        <v>1824</v>
      </c>
      <c r="N87" s="78" t="s">
        <v>1825</v>
      </c>
      <c r="O87" s="78"/>
      <c r="P87" s="80">
        <v>1.43</v>
      </c>
    </row>
    <row r="88" spans="1:16" x14ac:dyDescent="0.25">
      <c r="A88" s="72" t="s">
        <v>467</v>
      </c>
      <c r="B88" s="72" t="s">
        <v>1917</v>
      </c>
      <c r="C88" s="74">
        <v>2017</v>
      </c>
      <c r="D88" s="81">
        <v>39.03</v>
      </c>
      <c r="E88" s="72" t="s">
        <v>1831</v>
      </c>
      <c r="F88" s="76" t="s">
        <v>1832</v>
      </c>
      <c r="G88" s="72" t="s">
        <v>1165</v>
      </c>
      <c r="H88" s="72" t="s">
        <v>1905</v>
      </c>
      <c r="I88" s="72" t="s">
        <v>1893</v>
      </c>
      <c r="J88" s="77" t="s">
        <v>1893</v>
      </c>
      <c r="K88" s="77"/>
      <c r="L88" s="77"/>
      <c r="M88" s="78" t="s">
        <v>1824</v>
      </c>
      <c r="N88" s="78" t="s">
        <v>1825</v>
      </c>
      <c r="O88" s="78"/>
      <c r="P88" s="80">
        <v>39.03</v>
      </c>
    </row>
    <row r="89" spans="1:16" x14ac:dyDescent="0.25">
      <c r="A89" s="72" t="s">
        <v>461</v>
      </c>
      <c r="B89" s="72" t="s">
        <v>1918</v>
      </c>
      <c r="C89" s="74">
        <v>2017</v>
      </c>
      <c r="D89" s="81">
        <v>50.03</v>
      </c>
      <c r="E89" s="72" t="s">
        <v>1831</v>
      </c>
      <c r="F89" s="76" t="s">
        <v>1832</v>
      </c>
      <c r="G89" s="72" t="s">
        <v>1165</v>
      </c>
      <c r="H89" s="72" t="s">
        <v>1905</v>
      </c>
      <c r="I89" s="72" t="s">
        <v>1893</v>
      </c>
      <c r="J89" s="77" t="s">
        <v>1893</v>
      </c>
      <c r="K89" s="77"/>
      <c r="L89" s="77"/>
      <c r="M89" s="78" t="s">
        <v>1824</v>
      </c>
      <c r="N89" s="78" t="s">
        <v>1825</v>
      </c>
      <c r="O89" s="78"/>
      <c r="P89" s="80">
        <v>50.03</v>
      </c>
    </row>
    <row r="90" spans="1:16" x14ac:dyDescent="0.25">
      <c r="A90" s="72" t="s">
        <v>459</v>
      </c>
      <c r="B90" s="72" t="s">
        <v>1919</v>
      </c>
      <c r="C90" s="74">
        <v>2017</v>
      </c>
      <c r="D90" s="81">
        <v>57.4</v>
      </c>
      <c r="E90" s="72" t="s">
        <v>1831</v>
      </c>
      <c r="F90" s="76" t="s">
        <v>1832</v>
      </c>
      <c r="G90" s="72" t="s">
        <v>1165</v>
      </c>
      <c r="H90" s="72" t="s">
        <v>1905</v>
      </c>
      <c r="I90" s="72" t="s">
        <v>1893</v>
      </c>
      <c r="J90" s="77" t="s">
        <v>1893</v>
      </c>
      <c r="K90" s="77"/>
      <c r="L90" s="77"/>
      <c r="M90" s="78" t="s">
        <v>1824</v>
      </c>
      <c r="N90" s="78" t="s">
        <v>1825</v>
      </c>
      <c r="O90" s="78"/>
      <c r="P90" s="80">
        <v>57.4</v>
      </c>
    </row>
    <row r="91" spans="1:16" x14ac:dyDescent="0.25">
      <c r="A91" s="72" t="s">
        <v>472</v>
      </c>
      <c r="B91" s="72" t="s">
        <v>1920</v>
      </c>
      <c r="C91" s="74">
        <v>2017</v>
      </c>
      <c r="D91" s="81">
        <v>6.98</v>
      </c>
      <c r="E91" s="72" t="s">
        <v>1831</v>
      </c>
      <c r="F91" s="76" t="s">
        <v>1832</v>
      </c>
      <c r="G91" s="72" t="s">
        <v>1909</v>
      </c>
      <c r="H91" s="72" t="s">
        <v>1905</v>
      </c>
      <c r="I91" s="72" t="s">
        <v>1893</v>
      </c>
      <c r="J91" s="77" t="s">
        <v>1893</v>
      </c>
      <c r="K91" s="77"/>
      <c r="L91" s="77"/>
      <c r="M91" s="78" t="s">
        <v>1824</v>
      </c>
      <c r="N91" s="78" t="s">
        <v>1825</v>
      </c>
      <c r="O91" s="78"/>
      <c r="P91" s="80">
        <v>6.98</v>
      </c>
    </row>
    <row r="92" spans="1:16" x14ac:dyDescent="0.25">
      <c r="A92" s="72" t="s">
        <v>441</v>
      </c>
      <c r="B92" s="72" t="s">
        <v>1921</v>
      </c>
      <c r="C92" s="74">
        <v>2017</v>
      </c>
      <c r="D92" s="81">
        <v>1.44</v>
      </c>
      <c r="E92" s="72" t="s">
        <v>1831</v>
      </c>
      <c r="F92" s="76" t="s">
        <v>1832</v>
      </c>
      <c r="G92" s="72" t="s">
        <v>1911</v>
      </c>
      <c r="H92" s="72" t="s">
        <v>1905</v>
      </c>
      <c r="I92" s="72" t="s">
        <v>1893</v>
      </c>
      <c r="J92" s="77" t="s">
        <v>1893</v>
      </c>
      <c r="K92" s="77"/>
      <c r="L92" s="77"/>
      <c r="M92" s="78" t="s">
        <v>1824</v>
      </c>
      <c r="N92" s="78" t="s">
        <v>1825</v>
      </c>
      <c r="O92" s="78"/>
      <c r="P92" s="80">
        <v>1.44</v>
      </c>
    </row>
    <row r="93" spans="1:16" x14ac:dyDescent="0.25">
      <c r="A93" s="72" t="s">
        <v>476</v>
      </c>
      <c r="B93" s="72" t="s">
        <v>1922</v>
      </c>
      <c r="C93" s="74">
        <v>2017</v>
      </c>
      <c r="D93" s="81">
        <v>27.12</v>
      </c>
      <c r="E93" s="72" t="s">
        <v>1831</v>
      </c>
      <c r="F93" s="76" t="s">
        <v>1832</v>
      </c>
      <c r="G93" s="72" t="s">
        <v>1165</v>
      </c>
      <c r="H93" s="72" t="s">
        <v>1905</v>
      </c>
      <c r="I93" s="72" t="s">
        <v>1893</v>
      </c>
      <c r="J93" s="77" t="s">
        <v>1893</v>
      </c>
      <c r="K93" s="77"/>
      <c r="L93" s="77"/>
      <c r="M93" s="78" t="s">
        <v>1824</v>
      </c>
      <c r="N93" s="78" t="s">
        <v>1825</v>
      </c>
      <c r="O93" s="78"/>
      <c r="P93" s="80">
        <v>27.12</v>
      </c>
    </row>
    <row r="94" spans="1:16" x14ac:dyDescent="0.25">
      <c r="A94" s="72" t="s">
        <v>469</v>
      </c>
      <c r="B94" s="72" t="s">
        <v>1923</v>
      </c>
      <c r="C94" s="74">
        <v>2017</v>
      </c>
      <c r="D94" s="81">
        <v>32.53</v>
      </c>
      <c r="E94" s="72" t="s">
        <v>1831</v>
      </c>
      <c r="F94" s="76" t="s">
        <v>1832</v>
      </c>
      <c r="G94" s="72" t="s">
        <v>1165</v>
      </c>
      <c r="H94" s="72" t="s">
        <v>1905</v>
      </c>
      <c r="I94" s="72" t="s">
        <v>1893</v>
      </c>
      <c r="J94" s="77" t="s">
        <v>1893</v>
      </c>
      <c r="K94" s="77"/>
      <c r="L94" s="77"/>
      <c r="M94" s="78" t="s">
        <v>1824</v>
      </c>
      <c r="N94" s="78" t="s">
        <v>1825</v>
      </c>
      <c r="O94" s="78"/>
      <c r="P94" s="80">
        <v>32.53</v>
      </c>
    </row>
    <row r="95" spans="1:16" x14ac:dyDescent="0.25">
      <c r="A95" s="72" t="s">
        <v>457</v>
      </c>
      <c r="B95" s="72" t="s">
        <v>1924</v>
      </c>
      <c r="C95" s="74">
        <v>2017</v>
      </c>
      <c r="D95" s="81">
        <v>36.619999999999997</v>
      </c>
      <c r="E95" s="72" t="s">
        <v>1831</v>
      </c>
      <c r="F95" s="76" t="s">
        <v>1832</v>
      </c>
      <c r="G95" s="72" t="s">
        <v>1165</v>
      </c>
      <c r="H95" s="72" t="s">
        <v>1905</v>
      </c>
      <c r="I95" s="72" t="s">
        <v>1893</v>
      </c>
      <c r="J95" s="77" t="s">
        <v>1893</v>
      </c>
      <c r="K95" s="77"/>
      <c r="L95" s="77"/>
      <c r="M95" s="78" t="s">
        <v>1824</v>
      </c>
      <c r="N95" s="78" t="s">
        <v>1825</v>
      </c>
      <c r="O95" s="78"/>
      <c r="P95" s="80">
        <v>36.619999999999997</v>
      </c>
    </row>
    <row r="96" spans="1:16" x14ac:dyDescent="0.25">
      <c r="A96" s="72" t="s">
        <v>451</v>
      </c>
      <c r="B96" s="72" t="s">
        <v>1925</v>
      </c>
      <c r="C96" s="74">
        <v>2017</v>
      </c>
      <c r="D96" s="81">
        <v>21.17</v>
      </c>
      <c r="E96" s="72" t="s">
        <v>1831</v>
      </c>
      <c r="F96" s="76" t="s">
        <v>1832</v>
      </c>
      <c r="G96" s="72" t="s">
        <v>1926</v>
      </c>
      <c r="H96" s="72" t="s">
        <v>1905</v>
      </c>
      <c r="I96" s="72" t="s">
        <v>1927</v>
      </c>
      <c r="J96" s="81">
        <v>16.190000000000001</v>
      </c>
      <c r="K96" s="77"/>
      <c r="L96" s="77"/>
      <c r="M96" s="78" t="s">
        <v>1824</v>
      </c>
      <c r="N96" s="78" t="s">
        <v>1825</v>
      </c>
      <c r="O96" s="78"/>
      <c r="P96" s="80">
        <v>21.17</v>
      </c>
    </row>
    <row r="97" spans="1:16" x14ac:dyDescent="0.25">
      <c r="A97" s="72" t="s">
        <v>449</v>
      </c>
      <c r="B97" s="72" t="s">
        <v>1928</v>
      </c>
      <c r="C97" s="74">
        <v>2017</v>
      </c>
      <c r="D97" s="81">
        <v>25.93</v>
      </c>
      <c r="E97" s="72" t="s">
        <v>1831</v>
      </c>
      <c r="F97" s="76" t="s">
        <v>1832</v>
      </c>
      <c r="G97" s="72" t="s">
        <v>1926</v>
      </c>
      <c r="H97" s="72" t="s">
        <v>1905</v>
      </c>
      <c r="I97" s="72" t="s">
        <v>1929</v>
      </c>
      <c r="J97" s="81">
        <v>16.190000000000001</v>
      </c>
      <c r="K97" s="77"/>
      <c r="L97" s="77"/>
      <c r="M97" s="78" t="s">
        <v>1824</v>
      </c>
      <c r="N97" s="78" t="s">
        <v>1825</v>
      </c>
      <c r="O97" s="78"/>
      <c r="P97" s="80">
        <v>25.93</v>
      </c>
    </row>
    <row r="98" spans="1:16" x14ac:dyDescent="0.25">
      <c r="A98" s="72" t="s">
        <v>463</v>
      </c>
      <c r="B98" s="72" t="s">
        <v>1930</v>
      </c>
      <c r="C98" s="74">
        <v>2017</v>
      </c>
      <c r="D98" s="81">
        <v>65.31</v>
      </c>
      <c r="E98" s="72" t="s">
        <v>1831</v>
      </c>
      <c r="F98" s="76" t="s">
        <v>1832</v>
      </c>
      <c r="G98" s="72" t="s">
        <v>1926</v>
      </c>
      <c r="H98" s="72" t="s">
        <v>1905</v>
      </c>
      <c r="I98" s="72" t="s">
        <v>1931</v>
      </c>
      <c r="J98" s="81">
        <v>16.190000000000001</v>
      </c>
      <c r="K98" s="77"/>
      <c r="L98" s="77"/>
      <c r="M98" s="78" t="s">
        <v>1824</v>
      </c>
      <c r="N98" s="78" t="s">
        <v>1825</v>
      </c>
      <c r="O98" s="78"/>
      <c r="P98" s="80">
        <v>65.31</v>
      </c>
    </row>
    <row r="99" spans="1:16" x14ac:dyDescent="0.25">
      <c r="A99" s="72" t="s">
        <v>482</v>
      </c>
      <c r="B99" s="72" t="s">
        <v>1932</v>
      </c>
      <c r="C99" s="74">
        <v>2017</v>
      </c>
      <c r="D99" s="81">
        <v>38.82</v>
      </c>
      <c r="E99" s="72" t="s">
        <v>1831</v>
      </c>
      <c r="F99" s="76" t="s">
        <v>1832</v>
      </c>
      <c r="G99" s="72" t="s">
        <v>1926</v>
      </c>
      <c r="H99" s="72" t="s">
        <v>1905</v>
      </c>
      <c r="I99" s="72" t="s">
        <v>1933</v>
      </c>
      <c r="J99" s="81">
        <v>16.190000000000001</v>
      </c>
      <c r="K99" s="77"/>
      <c r="L99" s="77"/>
      <c r="M99" s="78" t="s">
        <v>1824</v>
      </c>
      <c r="N99" s="78" t="s">
        <v>1825</v>
      </c>
      <c r="O99" s="78"/>
      <c r="P99" s="80">
        <v>38.82</v>
      </c>
    </row>
    <row r="100" spans="1:16" x14ac:dyDescent="0.25">
      <c r="A100" s="72" t="s">
        <v>474</v>
      </c>
      <c r="B100" s="72" t="s">
        <v>1934</v>
      </c>
      <c r="C100" s="74">
        <v>2017</v>
      </c>
      <c r="D100" s="81">
        <v>21.17</v>
      </c>
      <c r="E100" s="72" t="s">
        <v>1831</v>
      </c>
      <c r="F100" s="76" t="s">
        <v>1832</v>
      </c>
      <c r="G100" s="72" t="s">
        <v>1926</v>
      </c>
      <c r="H100" s="72" t="s">
        <v>1905</v>
      </c>
      <c r="I100" s="72" t="s">
        <v>1935</v>
      </c>
      <c r="J100" s="81">
        <v>16.190000000000001</v>
      </c>
      <c r="K100" s="77"/>
      <c r="L100" s="77"/>
      <c r="M100" s="78" t="s">
        <v>1824</v>
      </c>
      <c r="N100" s="78" t="s">
        <v>1825</v>
      </c>
      <c r="O100" s="78"/>
      <c r="P100" s="80">
        <v>21.17</v>
      </c>
    </row>
    <row r="101" spans="1:16" x14ac:dyDescent="0.25">
      <c r="A101" s="72" t="s">
        <v>455</v>
      </c>
      <c r="B101" s="72" t="s">
        <v>1936</v>
      </c>
      <c r="C101" s="74">
        <v>2017</v>
      </c>
      <c r="D101" s="81">
        <v>25.93</v>
      </c>
      <c r="E101" s="72" t="s">
        <v>1831</v>
      </c>
      <c r="F101" s="76" t="s">
        <v>1832</v>
      </c>
      <c r="G101" s="72" t="s">
        <v>1926</v>
      </c>
      <c r="H101" s="72" t="s">
        <v>1905</v>
      </c>
      <c r="I101" s="72" t="s">
        <v>1937</v>
      </c>
      <c r="J101" s="81">
        <v>16.190000000000001</v>
      </c>
      <c r="K101" s="77"/>
      <c r="L101" s="77"/>
      <c r="M101" s="78" t="s">
        <v>1824</v>
      </c>
      <c r="N101" s="78" t="s">
        <v>1825</v>
      </c>
      <c r="O101" s="78"/>
      <c r="P101" s="80">
        <v>25.93</v>
      </c>
    </row>
    <row r="102" spans="1:16" x14ac:dyDescent="0.25">
      <c r="A102" s="72" t="s">
        <v>465</v>
      </c>
      <c r="B102" s="72" t="s">
        <v>1938</v>
      </c>
      <c r="C102" s="74">
        <v>2017</v>
      </c>
      <c r="D102" s="81">
        <v>38.82</v>
      </c>
      <c r="E102" s="72" t="s">
        <v>1831</v>
      </c>
      <c r="F102" s="76" t="s">
        <v>1832</v>
      </c>
      <c r="G102" s="72" t="s">
        <v>1926</v>
      </c>
      <c r="H102" s="72" t="s">
        <v>1905</v>
      </c>
      <c r="I102" s="72" t="s">
        <v>1939</v>
      </c>
      <c r="J102" s="81">
        <v>16.190000000000001</v>
      </c>
      <c r="K102" s="77"/>
      <c r="L102" s="77"/>
      <c r="M102" s="78" t="s">
        <v>1824</v>
      </c>
      <c r="N102" s="78" t="s">
        <v>1825</v>
      </c>
      <c r="O102" s="78"/>
      <c r="P102" s="80">
        <v>38.82</v>
      </c>
    </row>
    <row r="103" spans="1:16" x14ac:dyDescent="0.25">
      <c r="A103" s="72" t="s">
        <v>488</v>
      </c>
      <c r="B103" s="72" t="s">
        <v>1940</v>
      </c>
      <c r="C103" s="74">
        <v>2017</v>
      </c>
      <c r="D103" s="81">
        <v>21.17</v>
      </c>
      <c r="E103" s="72" t="s">
        <v>1831</v>
      </c>
      <c r="F103" s="76" t="s">
        <v>1832</v>
      </c>
      <c r="G103" s="72" t="s">
        <v>1926</v>
      </c>
      <c r="H103" s="72" t="s">
        <v>1905</v>
      </c>
      <c r="I103" s="72" t="s">
        <v>1941</v>
      </c>
      <c r="J103" s="81">
        <v>16.190000000000001</v>
      </c>
      <c r="K103" s="77"/>
      <c r="L103" s="77"/>
      <c r="M103" s="78" t="s">
        <v>1824</v>
      </c>
      <c r="N103" s="78" t="s">
        <v>1825</v>
      </c>
      <c r="O103" s="78"/>
      <c r="P103" s="80">
        <v>21.17</v>
      </c>
    </row>
    <row r="104" spans="1:16" x14ac:dyDescent="0.25">
      <c r="A104" s="72" t="s">
        <v>508</v>
      </c>
      <c r="B104" s="72" t="s">
        <v>1942</v>
      </c>
      <c r="C104" s="74">
        <v>2017</v>
      </c>
      <c r="D104" s="81">
        <v>25.93</v>
      </c>
      <c r="E104" s="72" t="s">
        <v>1831</v>
      </c>
      <c r="F104" s="76" t="s">
        <v>1832</v>
      </c>
      <c r="G104" s="72" t="s">
        <v>1926</v>
      </c>
      <c r="H104" s="72" t="s">
        <v>1905</v>
      </c>
      <c r="I104" s="72" t="s">
        <v>1943</v>
      </c>
      <c r="J104" s="81">
        <v>16.190000000000001</v>
      </c>
      <c r="K104" s="77"/>
      <c r="L104" s="77"/>
      <c r="M104" s="78" t="s">
        <v>1824</v>
      </c>
      <c r="N104" s="78" t="s">
        <v>1825</v>
      </c>
      <c r="O104" s="78"/>
      <c r="P104" s="80">
        <v>25.93</v>
      </c>
    </row>
    <row r="105" spans="1:16" x14ac:dyDescent="0.25">
      <c r="A105" s="72" t="s">
        <v>544</v>
      </c>
      <c r="B105" s="72" t="s">
        <v>1944</v>
      </c>
      <c r="C105" s="74">
        <v>2017</v>
      </c>
      <c r="D105" s="81">
        <v>38.82</v>
      </c>
      <c r="E105" s="72" t="s">
        <v>1831</v>
      </c>
      <c r="F105" s="76" t="s">
        <v>1832</v>
      </c>
      <c r="G105" s="72" t="s">
        <v>1926</v>
      </c>
      <c r="H105" s="72" t="s">
        <v>1905</v>
      </c>
      <c r="I105" s="72" t="s">
        <v>1945</v>
      </c>
      <c r="J105" s="81">
        <v>16.190000000000001</v>
      </c>
      <c r="K105" s="77"/>
      <c r="L105" s="77"/>
      <c r="M105" s="78" t="s">
        <v>1824</v>
      </c>
      <c r="N105" s="78" t="s">
        <v>1825</v>
      </c>
      <c r="O105" s="78"/>
      <c r="P105" s="80">
        <v>38.82</v>
      </c>
    </row>
    <row r="106" spans="1:16" x14ac:dyDescent="0.25">
      <c r="A106" s="72" t="s">
        <v>514</v>
      </c>
      <c r="B106" s="72" t="s">
        <v>1946</v>
      </c>
      <c r="C106" s="74">
        <v>2017</v>
      </c>
      <c r="D106" s="81">
        <v>21.17</v>
      </c>
      <c r="E106" s="72" t="s">
        <v>1831</v>
      </c>
      <c r="F106" s="76" t="s">
        <v>1832</v>
      </c>
      <c r="G106" s="72" t="s">
        <v>1926</v>
      </c>
      <c r="H106" s="72" t="s">
        <v>1905</v>
      </c>
      <c r="I106" s="72" t="s">
        <v>1947</v>
      </c>
      <c r="J106" s="81">
        <v>16.190000000000001</v>
      </c>
      <c r="K106" s="77"/>
      <c r="L106" s="77"/>
      <c r="M106" s="78" t="s">
        <v>1824</v>
      </c>
      <c r="N106" s="78" t="s">
        <v>1825</v>
      </c>
      <c r="O106" s="78"/>
      <c r="P106" s="80">
        <v>21.17</v>
      </c>
    </row>
    <row r="107" spans="1:16" x14ac:dyDescent="0.25">
      <c r="A107" s="72" t="s">
        <v>552</v>
      </c>
      <c r="B107" s="72" t="s">
        <v>1948</v>
      </c>
      <c r="C107" s="74">
        <v>2017</v>
      </c>
      <c r="D107" s="81">
        <v>25.93</v>
      </c>
      <c r="E107" s="72" t="s">
        <v>1831</v>
      </c>
      <c r="F107" s="76" t="s">
        <v>1832</v>
      </c>
      <c r="G107" s="72" t="s">
        <v>1926</v>
      </c>
      <c r="H107" s="72" t="s">
        <v>1905</v>
      </c>
      <c r="I107" s="72" t="s">
        <v>1949</v>
      </c>
      <c r="J107" s="81">
        <v>16.190000000000001</v>
      </c>
      <c r="K107" s="77"/>
      <c r="L107" s="77"/>
      <c r="M107" s="78" t="s">
        <v>1824</v>
      </c>
      <c r="N107" s="78" t="s">
        <v>1825</v>
      </c>
      <c r="O107" s="78"/>
      <c r="P107" s="80">
        <v>25.93</v>
      </c>
    </row>
    <row r="108" spans="1:16" x14ac:dyDescent="0.25">
      <c r="A108" s="72" t="s">
        <v>558</v>
      </c>
      <c r="B108" s="72" t="s">
        <v>1950</v>
      </c>
      <c r="C108" s="74">
        <v>2017</v>
      </c>
      <c r="D108" s="81">
        <v>38.82</v>
      </c>
      <c r="E108" s="72" t="s">
        <v>1831</v>
      </c>
      <c r="F108" s="76" t="s">
        <v>1832</v>
      </c>
      <c r="G108" s="72" t="s">
        <v>1926</v>
      </c>
      <c r="H108" s="72" t="s">
        <v>1905</v>
      </c>
      <c r="I108" s="72" t="s">
        <v>1951</v>
      </c>
      <c r="J108" s="81">
        <v>16.190000000000001</v>
      </c>
      <c r="K108" s="77"/>
      <c r="L108" s="77"/>
      <c r="M108" s="78" t="s">
        <v>1824</v>
      </c>
      <c r="N108" s="78" t="s">
        <v>1825</v>
      </c>
      <c r="O108" s="78"/>
      <c r="P108" s="80">
        <v>38.82</v>
      </c>
    </row>
    <row r="109" spans="1:16" x14ac:dyDescent="0.25">
      <c r="A109" s="72" t="s">
        <v>446</v>
      </c>
      <c r="B109" s="72" t="s">
        <v>1952</v>
      </c>
      <c r="C109" s="74">
        <v>2017</v>
      </c>
      <c r="D109" s="81">
        <v>6.93</v>
      </c>
      <c r="E109" s="72" t="s">
        <v>1854</v>
      </c>
      <c r="F109" s="76" t="s">
        <v>1855</v>
      </c>
      <c r="G109" s="72" t="s">
        <v>1856</v>
      </c>
      <c r="H109" s="72" t="s">
        <v>1905</v>
      </c>
      <c r="I109" s="72" t="s">
        <v>1893</v>
      </c>
      <c r="J109" s="77" t="s">
        <v>1893</v>
      </c>
      <c r="K109" s="77"/>
      <c r="L109" s="77"/>
      <c r="M109" s="78" t="s">
        <v>1824</v>
      </c>
      <c r="N109" s="78" t="s">
        <v>1825</v>
      </c>
      <c r="O109" s="78" t="s">
        <v>1953</v>
      </c>
      <c r="P109" s="80">
        <v>6.93</v>
      </c>
    </row>
    <row r="110" spans="1:16" x14ac:dyDescent="0.25">
      <c r="A110" s="72" t="s">
        <v>453</v>
      </c>
      <c r="B110" s="72" t="s">
        <v>1954</v>
      </c>
      <c r="C110" s="74">
        <v>2017</v>
      </c>
      <c r="D110" s="81">
        <v>19.97</v>
      </c>
      <c r="E110" s="72" t="s">
        <v>1854</v>
      </c>
      <c r="F110" s="76" t="s">
        <v>1855</v>
      </c>
      <c r="G110" s="72" t="s">
        <v>1856</v>
      </c>
      <c r="H110" s="72" t="s">
        <v>1905</v>
      </c>
      <c r="I110" s="72" t="s">
        <v>1893</v>
      </c>
      <c r="J110" s="77" t="s">
        <v>1893</v>
      </c>
      <c r="K110" s="77"/>
      <c r="L110" s="77"/>
      <c r="M110" s="78" t="s">
        <v>1824</v>
      </c>
      <c r="N110" s="78" t="s">
        <v>1825</v>
      </c>
      <c r="O110" s="78" t="s">
        <v>1953</v>
      </c>
      <c r="P110" s="80">
        <v>19.97</v>
      </c>
    </row>
    <row r="111" spans="1:16" x14ac:dyDescent="0.25">
      <c r="A111" s="72" t="s">
        <v>443</v>
      </c>
      <c r="B111" s="72" t="s">
        <v>1955</v>
      </c>
      <c r="C111" s="74">
        <v>2017</v>
      </c>
      <c r="D111" s="81">
        <v>19.97</v>
      </c>
      <c r="E111" s="72" t="s">
        <v>1854</v>
      </c>
      <c r="F111" s="76" t="s">
        <v>1855</v>
      </c>
      <c r="G111" s="72" t="s">
        <v>1856</v>
      </c>
      <c r="H111" s="72" t="s">
        <v>1905</v>
      </c>
      <c r="I111" s="72" t="s">
        <v>1893</v>
      </c>
      <c r="J111" s="77" t="s">
        <v>1893</v>
      </c>
      <c r="K111" s="77"/>
      <c r="L111" s="77"/>
      <c r="M111" s="78" t="s">
        <v>1824</v>
      </c>
      <c r="N111" s="78" t="s">
        <v>1825</v>
      </c>
      <c r="O111" s="78" t="s">
        <v>1953</v>
      </c>
      <c r="P111" s="80">
        <v>19.97</v>
      </c>
    </row>
    <row r="112" spans="1:16" x14ac:dyDescent="0.25">
      <c r="A112" s="72" t="s">
        <v>2612</v>
      </c>
      <c r="B112" s="72" t="s">
        <v>2613</v>
      </c>
      <c r="C112" s="74">
        <v>2017</v>
      </c>
      <c r="D112" s="97">
        <v>3487.1</v>
      </c>
      <c r="E112" s="72" t="s">
        <v>2614</v>
      </c>
      <c r="F112" s="76" t="s">
        <v>2615</v>
      </c>
      <c r="G112" s="72" t="s">
        <v>2616</v>
      </c>
      <c r="H112" s="72" t="s">
        <v>1905</v>
      </c>
      <c r="I112" s="72"/>
      <c r="J112" s="77"/>
      <c r="K112" s="77"/>
      <c r="L112" s="77"/>
      <c r="M112" s="78" t="s">
        <v>2617</v>
      </c>
      <c r="N112" s="78" t="s">
        <v>2618</v>
      </c>
      <c r="O112" s="78"/>
      <c r="P112" s="80">
        <v>3487.1</v>
      </c>
    </row>
    <row r="113" spans="1:16" x14ac:dyDescent="0.25">
      <c r="A113" s="72" t="s">
        <v>2619</v>
      </c>
      <c r="B113" s="72" t="s">
        <v>2620</v>
      </c>
      <c r="C113" s="74">
        <v>2017</v>
      </c>
      <c r="D113" s="97">
        <v>1743.55</v>
      </c>
      <c r="E113" s="72" t="s">
        <v>2614</v>
      </c>
      <c r="F113" s="76" t="s">
        <v>2615</v>
      </c>
      <c r="G113" s="72" t="s">
        <v>2616</v>
      </c>
      <c r="H113" s="72" t="s">
        <v>1905</v>
      </c>
      <c r="I113" s="72"/>
      <c r="J113" s="77"/>
      <c r="K113" s="77"/>
      <c r="L113" s="77"/>
      <c r="M113" s="78" t="s">
        <v>2617</v>
      </c>
      <c r="N113" s="78" t="s">
        <v>2618</v>
      </c>
      <c r="O113" s="78"/>
      <c r="P113" s="80">
        <v>1743.55</v>
      </c>
    </row>
    <row r="114" spans="1:16" x14ac:dyDescent="0.25">
      <c r="A114" s="94" t="s">
        <v>2598</v>
      </c>
      <c r="B114" s="95" t="s">
        <v>2570</v>
      </c>
      <c r="C114" s="74">
        <v>2017</v>
      </c>
      <c r="D114" s="81">
        <v>1.95</v>
      </c>
      <c r="E114" s="94" t="s">
        <v>1958</v>
      </c>
      <c r="F114" s="96" t="s">
        <v>1959</v>
      </c>
      <c r="G114" s="95" t="s">
        <v>2501</v>
      </c>
      <c r="H114" s="95" t="s">
        <v>1905</v>
      </c>
      <c r="I114" s="78"/>
      <c r="J114" s="78"/>
      <c r="K114" s="78"/>
      <c r="L114" s="78"/>
      <c r="M114" s="78" t="s">
        <v>2571</v>
      </c>
      <c r="N114" s="78"/>
      <c r="O114" s="78"/>
      <c r="P114" s="80" t="e">
        <v>#N/A</v>
      </c>
    </row>
    <row r="115" spans="1:16" x14ac:dyDescent="0.25">
      <c r="A115" s="94" t="s">
        <v>2605</v>
      </c>
      <c r="B115" s="95" t="s">
        <v>2585</v>
      </c>
      <c r="C115" s="74">
        <v>2017</v>
      </c>
      <c r="D115" s="81">
        <v>2.2799999999999998</v>
      </c>
      <c r="E115" s="94" t="s">
        <v>1958</v>
      </c>
      <c r="F115" s="96" t="s">
        <v>1959</v>
      </c>
      <c r="G115" s="95" t="s">
        <v>2501</v>
      </c>
      <c r="H115" s="95" t="s">
        <v>1905</v>
      </c>
      <c r="I115" s="78"/>
      <c r="J115" s="78"/>
      <c r="K115" s="78"/>
      <c r="L115" s="78"/>
      <c r="M115" s="78" t="s">
        <v>2571</v>
      </c>
      <c r="N115" s="78"/>
      <c r="O115" s="78"/>
      <c r="P115" s="80" t="e">
        <v>#N/A</v>
      </c>
    </row>
    <row r="116" spans="1:16" x14ac:dyDescent="0.25">
      <c r="A116" s="94" t="s">
        <v>2599</v>
      </c>
      <c r="B116" s="95" t="s">
        <v>2573</v>
      </c>
      <c r="C116" s="74">
        <v>2017</v>
      </c>
      <c r="D116" s="81">
        <v>2.69</v>
      </c>
      <c r="E116" s="94" t="s">
        <v>1958</v>
      </c>
      <c r="F116" s="96" t="s">
        <v>1959</v>
      </c>
      <c r="G116" s="95" t="s">
        <v>2501</v>
      </c>
      <c r="H116" s="95" t="s">
        <v>1905</v>
      </c>
      <c r="I116" s="78"/>
      <c r="J116" s="78"/>
      <c r="K116" s="78"/>
      <c r="L116" s="78"/>
      <c r="M116" s="78" t="s">
        <v>2571</v>
      </c>
      <c r="N116" s="78"/>
      <c r="O116" s="78"/>
      <c r="P116" s="80" t="e">
        <v>#N/A</v>
      </c>
    </row>
    <row r="117" spans="1:16" x14ac:dyDescent="0.25">
      <c r="A117" s="94" t="s">
        <v>2606</v>
      </c>
      <c r="B117" s="95" t="s">
        <v>2587</v>
      </c>
      <c r="C117" s="74">
        <v>2017</v>
      </c>
      <c r="D117" s="81">
        <v>3.05</v>
      </c>
      <c r="E117" s="94" t="s">
        <v>1958</v>
      </c>
      <c r="F117" s="96" t="s">
        <v>1959</v>
      </c>
      <c r="G117" s="95" t="s">
        <v>2501</v>
      </c>
      <c r="H117" s="95" t="s">
        <v>1905</v>
      </c>
      <c r="I117" s="78"/>
      <c r="J117" s="78"/>
      <c r="K117" s="78"/>
      <c r="L117" s="78"/>
      <c r="M117" s="78" t="s">
        <v>2571</v>
      </c>
      <c r="N117" s="78"/>
      <c r="O117" s="78"/>
      <c r="P117" s="80" t="e">
        <v>#N/A</v>
      </c>
    </row>
    <row r="118" spans="1:16" x14ac:dyDescent="0.25">
      <c r="A118" s="94" t="s">
        <v>2600</v>
      </c>
      <c r="B118" s="95" t="s">
        <v>2575</v>
      </c>
      <c r="C118" s="74">
        <v>2017</v>
      </c>
      <c r="D118" s="81">
        <v>2.69</v>
      </c>
      <c r="E118" s="94" t="s">
        <v>1958</v>
      </c>
      <c r="F118" s="96" t="s">
        <v>1959</v>
      </c>
      <c r="G118" s="95" t="s">
        <v>2501</v>
      </c>
      <c r="H118" s="95" t="s">
        <v>1905</v>
      </c>
      <c r="I118" s="78"/>
      <c r="J118" s="78"/>
      <c r="K118" s="78"/>
      <c r="L118" s="78"/>
      <c r="M118" s="78" t="s">
        <v>2571</v>
      </c>
      <c r="N118" s="78"/>
      <c r="O118" s="78"/>
      <c r="P118" s="80" t="e">
        <v>#N/A</v>
      </c>
    </row>
    <row r="119" spans="1:16" x14ac:dyDescent="0.25">
      <c r="A119" s="94" t="s">
        <v>2607</v>
      </c>
      <c r="B119" s="95" t="s">
        <v>2589</v>
      </c>
      <c r="C119" s="74">
        <v>2017</v>
      </c>
      <c r="D119" s="81">
        <v>3.05</v>
      </c>
      <c r="E119" s="94" t="s">
        <v>1958</v>
      </c>
      <c r="F119" s="96" t="s">
        <v>1959</v>
      </c>
      <c r="G119" s="95" t="s">
        <v>2501</v>
      </c>
      <c r="H119" s="95" t="s">
        <v>1905</v>
      </c>
      <c r="I119" s="72"/>
      <c r="J119" s="77"/>
      <c r="K119" s="77"/>
      <c r="L119" s="77"/>
      <c r="M119" s="78" t="s">
        <v>2571</v>
      </c>
      <c r="N119" s="78"/>
      <c r="O119" s="78"/>
      <c r="P119" s="80" t="e">
        <v>#N/A</v>
      </c>
    </row>
    <row r="120" spans="1:16" x14ac:dyDescent="0.25">
      <c r="A120" s="94" t="s">
        <v>2601</v>
      </c>
      <c r="B120" s="95" t="s">
        <v>2577</v>
      </c>
      <c r="C120" s="74">
        <v>2017</v>
      </c>
      <c r="D120" s="81">
        <v>3.16</v>
      </c>
      <c r="E120" s="94" t="s">
        <v>1958</v>
      </c>
      <c r="F120" s="96" t="s">
        <v>1959</v>
      </c>
      <c r="G120" s="95" t="s">
        <v>2501</v>
      </c>
      <c r="H120" s="95" t="s">
        <v>1905</v>
      </c>
      <c r="I120" s="78"/>
      <c r="J120" s="78"/>
      <c r="K120" s="78"/>
      <c r="L120" s="78"/>
      <c r="M120" s="78" t="s">
        <v>2571</v>
      </c>
      <c r="N120" s="78"/>
      <c r="O120" s="78"/>
      <c r="P120" s="80" t="e">
        <v>#N/A</v>
      </c>
    </row>
    <row r="121" spans="1:16" x14ac:dyDescent="0.25">
      <c r="A121" s="94" t="s">
        <v>2608</v>
      </c>
      <c r="B121" s="95" t="s">
        <v>2591</v>
      </c>
      <c r="C121" s="74">
        <v>2017</v>
      </c>
      <c r="D121" s="81">
        <v>3.64</v>
      </c>
      <c r="E121" s="94" t="s">
        <v>1958</v>
      </c>
      <c r="F121" s="96" t="s">
        <v>1959</v>
      </c>
      <c r="G121" s="95" t="s">
        <v>2501</v>
      </c>
      <c r="H121" s="95" t="s">
        <v>1905</v>
      </c>
      <c r="I121" s="72"/>
      <c r="J121" s="77"/>
      <c r="K121" s="77"/>
      <c r="L121" s="77"/>
      <c r="M121" s="78" t="s">
        <v>2571</v>
      </c>
      <c r="N121" s="78"/>
      <c r="O121" s="78"/>
      <c r="P121" s="80" t="e">
        <v>#N/A</v>
      </c>
    </row>
    <row r="122" spans="1:16" x14ac:dyDescent="0.25">
      <c r="A122" s="94" t="s">
        <v>2602</v>
      </c>
      <c r="B122" s="95" t="s">
        <v>2579</v>
      </c>
      <c r="C122" s="74">
        <v>2017</v>
      </c>
      <c r="D122" s="81">
        <v>3.67</v>
      </c>
      <c r="E122" s="94" t="s">
        <v>1958</v>
      </c>
      <c r="F122" s="96" t="s">
        <v>1959</v>
      </c>
      <c r="G122" s="95" t="s">
        <v>2501</v>
      </c>
      <c r="H122" s="95" t="s">
        <v>1905</v>
      </c>
      <c r="I122" s="78"/>
      <c r="J122" s="78"/>
      <c r="K122" s="78"/>
      <c r="L122" s="78"/>
      <c r="M122" s="78" t="s">
        <v>2571</v>
      </c>
      <c r="N122" s="78"/>
      <c r="O122" s="78"/>
      <c r="P122" s="80" t="e">
        <v>#N/A</v>
      </c>
    </row>
    <row r="123" spans="1:16" x14ac:dyDescent="0.25">
      <c r="A123" s="94" t="s">
        <v>2609</v>
      </c>
      <c r="B123" s="95" t="s">
        <v>2593</v>
      </c>
      <c r="C123" s="74">
        <v>2017</v>
      </c>
      <c r="D123" s="81">
        <v>4.16</v>
      </c>
      <c r="E123" s="94" t="s">
        <v>1958</v>
      </c>
      <c r="F123" s="96" t="s">
        <v>1959</v>
      </c>
      <c r="G123" s="95" t="s">
        <v>2501</v>
      </c>
      <c r="H123" s="95" t="s">
        <v>1905</v>
      </c>
      <c r="I123" s="72"/>
      <c r="J123" s="77"/>
      <c r="K123" s="77"/>
      <c r="L123" s="77"/>
      <c r="M123" s="78" t="s">
        <v>2571</v>
      </c>
      <c r="N123" s="78"/>
      <c r="O123" s="78"/>
      <c r="P123" s="80" t="e">
        <v>#N/A</v>
      </c>
    </row>
    <row r="124" spans="1:16" x14ac:dyDescent="0.25">
      <c r="A124" s="94" t="s">
        <v>2603</v>
      </c>
      <c r="B124" s="95" t="s">
        <v>2581</v>
      </c>
      <c r="C124" s="74">
        <v>2017</v>
      </c>
      <c r="D124" s="81">
        <v>2.62</v>
      </c>
      <c r="E124" s="94" t="s">
        <v>1958</v>
      </c>
      <c r="F124" s="96" t="s">
        <v>1959</v>
      </c>
      <c r="G124" s="95" t="s">
        <v>2501</v>
      </c>
      <c r="H124" s="95" t="s">
        <v>1905</v>
      </c>
      <c r="I124" s="78"/>
      <c r="J124" s="78"/>
      <c r="K124" s="78"/>
      <c r="L124" s="78"/>
      <c r="M124" s="78" t="s">
        <v>2571</v>
      </c>
      <c r="N124" s="78"/>
      <c r="O124" s="78"/>
      <c r="P124" s="80" t="e">
        <v>#N/A</v>
      </c>
    </row>
    <row r="125" spans="1:16" x14ac:dyDescent="0.25">
      <c r="A125" s="94" t="s">
        <v>2610</v>
      </c>
      <c r="B125" s="95" t="s">
        <v>2595</v>
      </c>
      <c r="C125" s="74">
        <v>2017</v>
      </c>
      <c r="D125" s="81">
        <v>3.62</v>
      </c>
      <c r="E125" s="94" t="s">
        <v>1958</v>
      </c>
      <c r="F125" s="96" t="s">
        <v>1959</v>
      </c>
      <c r="G125" s="95" t="s">
        <v>2501</v>
      </c>
      <c r="H125" s="95" t="s">
        <v>1905</v>
      </c>
      <c r="I125" s="72"/>
      <c r="J125" s="77"/>
      <c r="K125" s="77"/>
      <c r="L125" s="77"/>
      <c r="M125" s="78" t="s">
        <v>2571</v>
      </c>
      <c r="N125" s="78"/>
      <c r="O125" s="78"/>
      <c r="P125" s="80" t="e">
        <v>#N/A</v>
      </c>
    </row>
    <row r="126" spans="1:16" x14ac:dyDescent="0.25">
      <c r="A126" s="94" t="s">
        <v>2604</v>
      </c>
      <c r="B126" s="95" t="s">
        <v>2583</v>
      </c>
      <c r="C126" s="74">
        <v>2017</v>
      </c>
      <c r="D126" s="81">
        <v>4</v>
      </c>
      <c r="E126" s="94" t="s">
        <v>1958</v>
      </c>
      <c r="F126" s="96" t="s">
        <v>1959</v>
      </c>
      <c r="G126" s="95" t="s">
        <v>2501</v>
      </c>
      <c r="H126" s="95" t="s">
        <v>1905</v>
      </c>
      <c r="I126" s="78"/>
      <c r="J126" s="78"/>
      <c r="K126" s="78"/>
      <c r="L126" s="78"/>
      <c r="M126" s="78" t="s">
        <v>2571</v>
      </c>
      <c r="N126" s="78"/>
      <c r="O126" s="78"/>
      <c r="P126" s="80" t="e">
        <v>#N/A</v>
      </c>
    </row>
    <row r="127" spans="1:16" x14ac:dyDescent="0.25">
      <c r="A127" s="94" t="s">
        <v>2611</v>
      </c>
      <c r="B127" s="95" t="s">
        <v>2597</v>
      </c>
      <c r="C127" s="74">
        <v>2017</v>
      </c>
      <c r="D127" s="81">
        <v>4.49</v>
      </c>
      <c r="E127" s="94" t="s">
        <v>1958</v>
      </c>
      <c r="F127" s="96" t="s">
        <v>1959</v>
      </c>
      <c r="G127" s="95" t="s">
        <v>2501</v>
      </c>
      <c r="H127" s="95" t="s">
        <v>1905</v>
      </c>
      <c r="I127" s="72"/>
      <c r="J127" s="77"/>
      <c r="K127" s="77"/>
      <c r="L127" s="77"/>
      <c r="M127" s="78" t="s">
        <v>2571</v>
      </c>
      <c r="N127" s="78"/>
      <c r="O127" s="78"/>
      <c r="P127" s="80" t="e">
        <v>#N/A</v>
      </c>
    </row>
    <row r="128" spans="1:16" x14ac:dyDescent="0.25">
      <c r="A128" s="94" t="s">
        <v>2569</v>
      </c>
      <c r="B128" s="95" t="s">
        <v>2570</v>
      </c>
      <c r="C128" s="74">
        <v>2017</v>
      </c>
      <c r="D128" s="81">
        <v>2.0099999999999998</v>
      </c>
      <c r="E128" s="94" t="s">
        <v>1958</v>
      </c>
      <c r="F128" s="96" t="s">
        <v>1959</v>
      </c>
      <c r="G128" s="95" t="s">
        <v>2501</v>
      </c>
      <c r="H128" s="95" t="s">
        <v>1905</v>
      </c>
      <c r="I128" s="72"/>
      <c r="J128" s="77"/>
      <c r="K128" s="77"/>
      <c r="L128" s="77"/>
      <c r="M128" s="78" t="s">
        <v>2571</v>
      </c>
      <c r="N128" s="78"/>
      <c r="O128" s="78"/>
      <c r="P128" s="80" t="e">
        <v>#N/A</v>
      </c>
    </row>
    <row r="129" spans="1:16" x14ac:dyDescent="0.25">
      <c r="A129" s="94" t="s">
        <v>2584</v>
      </c>
      <c r="B129" s="95" t="s">
        <v>2585</v>
      </c>
      <c r="C129" s="74">
        <v>2017</v>
      </c>
      <c r="D129" s="81">
        <v>2.4500000000000002</v>
      </c>
      <c r="E129" s="94" t="s">
        <v>1958</v>
      </c>
      <c r="F129" s="96" t="s">
        <v>1959</v>
      </c>
      <c r="G129" s="95" t="s">
        <v>2501</v>
      </c>
      <c r="H129" s="95" t="s">
        <v>1905</v>
      </c>
      <c r="I129" s="78"/>
      <c r="J129" s="78"/>
      <c r="K129" s="78"/>
      <c r="L129" s="78"/>
      <c r="M129" s="78" t="s">
        <v>2571</v>
      </c>
      <c r="N129" s="78"/>
      <c r="O129" s="78"/>
      <c r="P129" s="80" t="e">
        <v>#N/A</v>
      </c>
    </row>
    <row r="130" spans="1:16" x14ac:dyDescent="0.25">
      <c r="A130" s="94" t="s">
        <v>2572</v>
      </c>
      <c r="B130" s="95" t="s">
        <v>2573</v>
      </c>
      <c r="C130" s="74">
        <v>2017</v>
      </c>
      <c r="D130" s="81">
        <v>2.75</v>
      </c>
      <c r="E130" s="94" t="s">
        <v>1958</v>
      </c>
      <c r="F130" s="96" t="s">
        <v>1959</v>
      </c>
      <c r="G130" s="95" t="s">
        <v>2501</v>
      </c>
      <c r="H130" s="95" t="s">
        <v>1905</v>
      </c>
      <c r="I130" s="72"/>
      <c r="J130" s="77"/>
      <c r="K130" s="77"/>
      <c r="L130" s="77"/>
      <c r="M130" s="78" t="s">
        <v>2571</v>
      </c>
      <c r="N130" s="78"/>
      <c r="O130" s="78"/>
      <c r="P130" s="80" t="e">
        <v>#N/A</v>
      </c>
    </row>
    <row r="131" spans="1:16" x14ac:dyDescent="0.25">
      <c r="A131" s="94" t="s">
        <v>2586</v>
      </c>
      <c r="B131" s="95" t="s">
        <v>2587</v>
      </c>
      <c r="C131" s="74">
        <v>2017</v>
      </c>
      <c r="D131" s="81">
        <v>3.22</v>
      </c>
      <c r="E131" s="94" t="s">
        <v>1958</v>
      </c>
      <c r="F131" s="96" t="s">
        <v>1959</v>
      </c>
      <c r="G131" s="95" t="s">
        <v>2501</v>
      </c>
      <c r="H131" s="95" t="s">
        <v>1905</v>
      </c>
      <c r="I131" s="78"/>
      <c r="J131" s="78"/>
      <c r="K131" s="78"/>
      <c r="L131" s="78"/>
      <c r="M131" s="78" t="s">
        <v>2571</v>
      </c>
      <c r="N131" s="78"/>
      <c r="O131" s="78"/>
      <c r="P131" s="80" t="e">
        <v>#N/A</v>
      </c>
    </row>
    <row r="132" spans="1:16" x14ac:dyDescent="0.25">
      <c r="A132" s="94" t="s">
        <v>2574</v>
      </c>
      <c r="B132" s="95" t="s">
        <v>2575</v>
      </c>
      <c r="C132" s="74">
        <v>2017</v>
      </c>
      <c r="D132" s="81">
        <v>2.76</v>
      </c>
      <c r="E132" s="94" t="s">
        <v>1958</v>
      </c>
      <c r="F132" s="96" t="s">
        <v>1959</v>
      </c>
      <c r="G132" s="95" t="s">
        <v>2501</v>
      </c>
      <c r="H132" s="95" t="s">
        <v>1905</v>
      </c>
      <c r="I132" s="72"/>
      <c r="J132" s="77"/>
      <c r="K132" s="77"/>
      <c r="L132" s="77"/>
      <c r="M132" s="78" t="s">
        <v>2571</v>
      </c>
      <c r="N132" s="78"/>
      <c r="O132" s="78"/>
      <c r="P132" s="80" t="e">
        <v>#N/A</v>
      </c>
    </row>
    <row r="133" spans="1:16" x14ac:dyDescent="0.25">
      <c r="A133" s="94" t="s">
        <v>2588</v>
      </c>
      <c r="B133" s="95" t="s">
        <v>2589</v>
      </c>
      <c r="C133" s="74">
        <v>2017</v>
      </c>
      <c r="D133" s="81">
        <v>3.22</v>
      </c>
      <c r="E133" s="94" t="s">
        <v>1958</v>
      </c>
      <c r="F133" s="96" t="s">
        <v>1959</v>
      </c>
      <c r="G133" s="95" t="s">
        <v>2501</v>
      </c>
      <c r="H133" s="95" t="s">
        <v>1905</v>
      </c>
      <c r="I133" s="78"/>
      <c r="J133" s="78"/>
      <c r="K133" s="78"/>
      <c r="L133" s="78"/>
      <c r="M133" s="78" t="s">
        <v>2571</v>
      </c>
      <c r="N133" s="78"/>
      <c r="O133" s="78"/>
      <c r="P133" s="80" t="e">
        <v>#N/A</v>
      </c>
    </row>
    <row r="134" spans="1:16" x14ac:dyDescent="0.25">
      <c r="A134" s="94" t="s">
        <v>2576</v>
      </c>
      <c r="B134" s="95" t="s">
        <v>2577</v>
      </c>
      <c r="C134" s="74">
        <v>2017</v>
      </c>
      <c r="D134" s="81">
        <v>3.24</v>
      </c>
      <c r="E134" s="94" t="s">
        <v>1958</v>
      </c>
      <c r="F134" s="96" t="s">
        <v>1959</v>
      </c>
      <c r="G134" s="95" t="s">
        <v>2501</v>
      </c>
      <c r="H134" s="95" t="s">
        <v>1905</v>
      </c>
      <c r="I134" s="72"/>
      <c r="J134" s="77"/>
      <c r="K134" s="77"/>
      <c r="L134" s="77"/>
      <c r="M134" s="78" t="s">
        <v>2571</v>
      </c>
      <c r="N134" s="78"/>
      <c r="O134" s="78"/>
      <c r="P134" s="80" t="e">
        <v>#N/A</v>
      </c>
    </row>
    <row r="135" spans="1:16" x14ac:dyDescent="0.25">
      <c r="A135" s="94" t="s">
        <v>2590</v>
      </c>
      <c r="B135" s="95" t="s">
        <v>2591</v>
      </c>
      <c r="C135" s="74">
        <v>2017</v>
      </c>
      <c r="D135" s="81">
        <v>3.84</v>
      </c>
      <c r="E135" s="94" t="s">
        <v>1958</v>
      </c>
      <c r="F135" s="96" t="s">
        <v>1959</v>
      </c>
      <c r="G135" s="95" t="s">
        <v>2501</v>
      </c>
      <c r="H135" s="95" t="s">
        <v>1905</v>
      </c>
      <c r="I135" s="78"/>
      <c r="J135" s="78"/>
      <c r="K135" s="78"/>
      <c r="L135" s="78"/>
      <c r="M135" s="78" t="s">
        <v>2571</v>
      </c>
      <c r="N135" s="78"/>
      <c r="O135" s="78"/>
      <c r="P135" s="80" t="e">
        <v>#N/A</v>
      </c>
    </row>
    <row r="136" spans="1:16" x14ac:dyDescent="0.25">
      <c r="A136" s="94" t="s">
        <v>2578</v>
      </c>
      <c r="B136" s="95" t="s">
        <v>2579</v>
      </c>
      <c r="C136" s="74">
        <v>2017</v>
      </c>
      <c r="D136" s="81">
        <v>3.78</v>
      </c>
      <c r="E136" s="94" t="s">
        <v>1958</v>
      </c>
      <c r="F136" s="96" t="s">
        <v>1959</v>
      </c>
      <c r="G136" s="95" t="s">
        <v>2501</v>
      </c>
      <c r="H136" s="95" t="s">
        <v>1905</v>
      </c>
      <c r="I136" s="78"/>
      <c r="J136" s="78"/>
      <c r="K136" s="78"/>
      <c r="L136" s="78"/>
      <c r="M136" s="78" t="s">
        <v>2571</v>
      </c>
      <c r="N136" s="78"/>
      <c r="O136" s="78"/>
      <c r="P136" s="80" t="e">
        <v>#N/A</v>
      </c>
    </row>
    <row r="137" spans="1:16" x14ac:dyDescent="0.25">
      <c r="A137" s="94" t="s">
        <v>2592</v>
      </c>
      <c r="B137" s="95" t="s">
        <v>2593</v>
      </c>
      <c r="C137" s="74">
        <v>2017</v>
      </c>
      <c r="D137" s="81">
        <v>4.38</v>
      </c>
      <c r="E137" s="94" t="s">
        <v>1958</v>
      </c>
      <c r="F137" s="96" t="s">
        <v>1959</v>
      </c>
      <c r="G137" s="95" t="s">
        <v>2501</v>
      </c>
      <c r="H137" s="95" t="s">
        <v>1905</v>
      </c>
      <c r="I137" s="78"/>
      <c r="J137" s="78"/>
      <c r="K137" s="78"/>
      <c r="L137" s="78"/>
      <c r="M137" s="78" t="s">
        <v>2571</v>
      </c>
      <c r="N137" s="78"/>
      <c r="O137" s="78"/>
      <c r="P137" s="80" t="e">
        <v>#N/A</v>
      </c>
    </row>
    <row r="138" spans="1:16" x14ac:dyDescent="0.25">
      <c r="A138" s="94" t="s">
        <v>2580</v>
      </c>
      <c r="B138" s="95" t="s">
        <v>2581</v>
      </c>
      <c r="C138" s="74">
        <v>2017</v>
      </c>
      <c r="D138" s="81">
        <v>2.68</v>
      </c>
      <c r="E138" s="94" t="s">
        <v>1958</v>
      </c>
      <c r="F138" s="96" t="s">
        <v>1959</v>
      </c>
      <c r="G138" s="95" t="s">
        <v>2501</v>
      </c>
      <c r="H138" s="95" t="s">
        <v>1905</v>
      </c>
      <c r="I138" s="78"/>
      <c r="J138" s="78"/>
      <c r="K138" s="78"/>
      <c r="L138" s="78"/>
      <c r="M138" s="78" t="s">
        <v>2571</v>
      </c>
      <c r="N138" s="78"/>
      <c r="O138" s="78"/>
      <c r="P138" s="80" t="e">
        <v>#N/A</v>
      </c>
    </row>
    <row r="139" spans="1:16" x14ac:dyDescent="0.25">
      <c r="A139" s="94" t="s">
        <v>2594</v>
      </c>
      <c r="B139" s="95" t="s">
        <v>2595</v>
      </c>
      <c r="C139" s="74">
        <v>2017</v>
      </c>
      <c r="D139" s="81">
        <v>3.82</v>
      </c>
      <c r="E139" s="94" t="s">
        <v>1958</v>
      </c>
      <c r="F139" s="96" t="s">
        <v>1959</v>
      </c>
      <c r="G139" s="95" t="s">
        <v>2501</v>
      </c>
      <c r="H139" s="95" t="s">
        <v>1905</v>
      </c>
      <c r="I139" s="78"/>
      <c r="J139" s="78"/>
      <c r="K139" s="78"/>
      <c r="L139" s="78"/>
      <c r="M139" s="78" t="s">
        <v>2571</v>
      </c>
      <c r="N139" s="78"/>
      <c r="O139" s="78"/>
      <c r="P139" s="80" t="e">
        <v>#N/A</v>
      </c>
    </row>
    <row r="140" spans="1:16" x14ac:dyDescent="0.25">
      <c r="A140" s="94" t="s">
        <v>2582</v>
      </c>
      <c r="B140" s="95" t="s">
        <v>2583</v>
      </c>
      <c r="C140" s="74">
        <v>2017</v>
      </c>
      <c r="D140" s="81">
        <v>4.1440000000000001</v>
      </c>
      <c r="E140" s="94" t="s">
        <v>1958</v>
      </c>
      <c r="F140" s="96" t="s">
        <v>1959</v>
      </c>
      <c r="G140" s="95" t="s">
        <v>2501</v>
      </c>
      <c r="H140" s="95" t="s">
        <v>1905</v>
      </c>
      <c r="I140" s="78"/>
      <c r="J140" s="78"/>
      <c r="K140" s="78"/>
      <c r="L140" s="78"/>
      <c r="M140" s="78" t="s">
        <v>2571</v>
      </c>
      <c r="N140" s="78"/>
      <c r="O140" s="78"/>
      <c r="P140" s="80" t="e">
        <v>#N/A</v>
      </c>
    </row>
    <row r="141" spans="1:16" x14ac:dyDescent="0.25">
      <c r="A141" s="94" t="s">
        <v>2596</v>
      </c>
      <c r="B141" s="95" t="s">
        <v>2597</v>
      </c>
      <c r="C141" s="74">
        <v>2017</v>
      </c>
      <c r="D141" s="81">
        <v>4.74</v>
      </c>
      <c r="E141" s="94" t="s">
        <v>1958</v>
      </c>
      <c r="F141" s="96" t="s">
        <v>1959</v>
      </c>
      <c r="G141" s="95" t="s">
        <v>2501</v>
      </c>
      <c r="H141" s="95" t="s">
        <v>1905</v>
      </c>
      <c r="I141" s="78"/>
      <c r="J141" s="78"/>
      <c r="K141" s="78"/>
      <c r="L141" s="78"/>
      <c r="M141" s="78" t="s">
        <v>2571</v>
      </c>
      <c r="N141" s="78"/>
      <c r="O141" s="78"/>
      <c r="P141" s="80" t="e">
        <v>#N/A</v>
      </c>
    </row>
    <row r="142" spans="1:16" x14ac:dyDescent="0.25">
      <c r="A142" s="72" t="s">
        <v>2627</v>
      </c>
      <c r="B142" s="72" t="s">
        <v>2628</v>
      </c>
      <c r="C142" s="98">
        <v>2016</v>
      </c>
      <c r="D142" s="80">
        <v>132.02000000000001</v>
      </c>
      <c r="E142" s="78" t="s">
        <v>1958</v>
      </c>
      <c r="F142" s="76" t="s">
        <v>1959</v>
      </c>
      <c r="G142" s="72" t="s">
        <v>2629</v>
      </c>
      <c r="H142" s="72" t="s">
        <v>2630</v>
      </c>
      <c r="I142" s="72"/>
      <c r="J142" s="78"/>
      <c r="K142" s="78"/>
      <c r="L142" s="78"/>
      <c r="M142" s="78" t="s">
        <v>2631</v>
      </c>
      <c r="N142" s="78" t="s">
        <v>2632</v>
      </c>
      <c r="O142" s="99" t="s">
        <v>1953</v>
      </c>
      <c r="P142" s="80">
        <v>132.02000000000001</v>
      </c>
    </row>
    <row r="143" spans="1:16" x14ac:dyDescent="0.25">
      <c r="A143" s="72" t="s">
        <v>2633</v>
      </c>
      <c r="B143" s="72" t="s">
        <v>2634</v>
      </c>
      <c r="C143" s="98">
        <v>2016</v>
      </c>
      <c r="D143" s="80">
        <v>213.94</v>
      </c>
      <c r="E143" s="78" t="s">
        <v>1958</v>
      </c>
      <c r="F143" s="76" t="s">
        <v>1959</v>
      </c>
      <c r="G143" s="72" t="s">
        <v>2629</v>
      </c>
      <c r="H143" s="72" t="s">
        <v>2630</v>
      </c>
      <c r="I143" s="72"/>
      <c r="J143" s="78"/>
      <c r="K143" s="78"/>
      <c r="L143" s="78"/>
      <c r="M143" s="78" t="s">
        <v>2631</v>
      </c>
      <c r="N143" s="78" t="s">
        <v>2632</v>
      </c>
      <c r="O143" s="99" t="s">
        <v>1953</v>
      </c>
      <c r="P143" s="80">
        <v>213.94</v>
      </c>
    </row>
    <row r="144" spans="1:16" x14ac:dyDescent="0.25">
      <c r="A144" s="72" t="s">
        <v>2635</v>
      </c>
      <c r="B144" s="72" t="s">
        <v>2636</v>
      </c>
      <c r="C144" s="98">
        <v>2016</v>
      </c>
      <c r="D144" s="80">
        <v>305.10000000000002</v>
      </c>
      <c r="E144" s="78" t="s">
        <v>1958</v>
      </c>
      <c r="F144" s="76" t="s">
        <v>1959</v>
      </c>
      <c r="G144" s="72" t="s">
        <v>2629</v>
      </c>
      <c r="H144" s="72" t="s">
        <v>2630</v>
      </c>
      <c r="I144" s="72"/>
      <c r="J144" s="78"/>
      <c r="K144" s="78"/>
      <c r="L144" s="78"/>
      <c r="M144" s="78" t="s">
        <v>2631</v>
      </c>
      <c r="N144" s="78" t="s">
        <v>2632</v>
      </c>
      <c r="O144" s="99" t="s">
        <v>1953</v>
      </c>
      <c r="P144" s="80">
        <v>305.10000000000002</v>
      </c>
    </row>
    <row r="145" spans="1:16" x14ac:dyDescent="0.25">
      <c r="A145" s="72" t="s">
        <v>245</v>
      </c>
      <c r="B145" s="72" t="s">
        <v>1149</v>
      </c>
      <c r="C145" s="74">
        <v>2017</v>
      </c>
      <c r="D145" s="81">
        <v>66.040000000000006</v>
      </c>
      <c r="E145" s="72" t="s">
        <v>1958</v>
      </c>
      <c r="F145" s="76" t="s">
        <v>1959</v>
      </c>
      <c r="G145" s="72" t="s">
        <v>47</v>
      </c>
      <c r="H145" s="72" t="s">
        <v>1905</v>
      </c>
      <c r="I145" s="72" t="s">
        <v>1893</v>
      </c>
      <c r="J145" s="77" t="s">
        <v>1893</v>
      </c>
      <c r="K145" s="77"/>
      <c r="L145" s="77"/>
      <c r="M145" s="78" t="s">
        <v>1824</v>
      </c>
      <c r="N145" s="78" t="s">
        <v>1825</v>
      </c>
      <c r="O145" s="78"/>
      <c r="P145" s="80">
        <v>66.040000000000006</v>
      </c>
    </row>
    <row r="146" spans="1:16" x14ac:dyDescent="0.25">
      <c r="A146" s="72" t="s">
        <v>136</v>
      </c>
      <c r="B146" s="72" t="s">
        <v>1150</v>
      </c>
      <c r="C146" s="74">
        <v>2017</v>
      </c>
      <c r="D146" s="81">
        <v>83.9</v>
      </c>
      <c r="E146" s="72" t="s">
        <v>1958</v>
      </c>
      <c r="F146" s="76" t="s">
        <v>1959</v>
      </c>
      <c r="G146" s="72" t="s">
        <v>47</v>
      </c>
      <c r="H146" s="72" t="s">
        <v>1905</v>
      </c>
      <c r="I146" s="72" t="s">
        <v>1893</v>
      </c>
      <c r="J146" s="77" t="s">
        <v>1893</v>
      </c>
      <c r="K146" s="77"/>
      <c r="L146" s="77"/>
      <c r="M146" s="78" t="s">
        <v>1824</v>
      </c>
      <c r="N146" s="78" t="s">
        <v>1825</v>
      </c>
      <c r="O146" s="78"/>
      <c r="P146" s="80">
        <v>83.9</v>
      </c>
    </row>
    <row r="147" spans="1:16" x14ac:dyDescent="0.25">
      <c r="A147" s="72" t="s">
        <v>210</v>
      </c>
      <c r="B147" s="72" t="s">
        <v>700</v>
      </c>
      <c r="C147" s="74">
        <v>2017</v>
      </c>
      <c r="D147" s="81">
        <v>101.16</v>
      </c>
      <c r="E147" s="72" t="s">
        <v>1958</v>
      </c>
      <c r="F147" s="76" t="s">
        <v>1959</v>
      </c>
      <c r="G147" s="72" t="s">
        <v>47</v>
      </c>
      <c r="H147" s="72" t="s">
        <v>1905</v>
      </c>
      <c r="I147" s="72" t="s">
        <v>1893</v>
      </c>
      <c r="J147" s="77" t="s">
        <v>1893</v>
      </c>
      <c r="K147" s="77"/>
      <c r="L147" s="77"/>
      <c r="M147" s="78" t="s">
        <v>1824</v>
      </c>
      <c r="N147" s="78" t="s">
        <v>1825</v>
      </c>
      <c r="O147" s="78"/>
      <c r="P147" s="80">
        <v>101.16</v>
      </c>
    </row>
    <row r="148" spans="1:16" x14ac:dyDescent="0.25">
      <c r="A148" s="72" t="s">
        <v>291</v>
      </c>
      <c r="B148" s="72" t="s">
        <v>701</v>
      </c>
      <c r="C148" s="74">
        <v>2017</v>
      </c>
      <c r="D148" s="81">
        <v>121.02</v>
      </c>
      <c r="E148" s="72" t="s">
        <v>1958</v>
      </c>
      <c r="F148" s="76" t="s">
        <v>1959</v>
      </c>
      <c r="G148" s="72" t="s">
        <v>47</v>
      </c>
      <c r="H148" s="72" t="s">
        <v>1905</v>
      </c>
      <c r="I148" s="72" t="s">
        <v>1893</v>
      </c>
      <c r="J148" s="77" t="s">
        <v>1893</v>
      </c>
      <c r="K148" s="77"/>
      <c r="L148" s="77"/>
      <c r="M148" s="78" t="s">
        <v>1824</v>
      </c>
      <c r="N148" s="78" t="s">
        <v>1825</v>
      </c>
      <c r="O148" s="78"/>
      <c r="P148" s="80">
        <v>121.02</v>
      </c>
    </row>
    <row r="149" spans="1:16" x14ac:dyDescent="0.25">
      <c r="A149" s="72" t="s">
        <v>54</v>
      </c>
      <c r="B149" s="72" t="s">
        <v>702</v>
      </c>
      <c r="C149" s="74">
        <v>2017</v>
      </c>
      <c r="D149" s="81">
        <v>115.32</v>
      </c>
      <c r="E149" s="72" t="s">
        <v>1958</v>
      </c>
      <c r="F149" s="76" t="s">
        <v>1959</v>
      </c>
      <c r="G149" s="72" t="s">
        <v>47</v>
      </c>
      <c r="H149" s="72" t="s">
        <v>1905</v>
      </c>
      <c r="I149" s="72" t="s">
        <v>1893</v>
      </c>
      <c r="J149" s="77" t="s">
        <v>1893</v>
      </c>
      <c r="K149" s="77"/>
      <c r="L149" s="77"/>
      <c r="M149" s="78" t="s">
        <v>1824</v>
      </c>
      <c r="N149" s="78" t="s">
        <v>1825</v>
      </c>
      <c r="O149" s="78"/>
      <c r="P149" s="80">
        <v>115.32</v>
      </c>
    </row>
    <row r="150" spans="1:16" x14ac:dyDescent="0.25">
      <c r="A150" s="72" t="s">
        <v>167</v>
      </c>
      <c r="B150" s="72" t="s">
        <v>703</v>
      </c>
      <c r="C150" s="74">
        <v>2017</v>
      </c>
      <c r="D150" s="81">
        <v>135.18</v>
      </c>
      <c r="E150" s="72" t="s">
        <v>1958</v>
      </c>
      <c r="F150" s="76" t="s">
        <v>1959</v>
      </c>
      <c r="G150" s="72" t="s">
        <v>47</v>
      </c>
      <c r="H150" s="72" t="s">
        <v>1905</v>
      </c>
      <c r="I150" s="72" t="s">
        <v>1893</v>
      </c>
      <c r="J150" s="77" t="s">
        <v>1893</v>
      </c>
      <c r="K150" s="77"/>
      <c r="L150" s="77"/>
      <c r="M150" s="78" t="s">
        <v>1824</v>
      </c>
      <c r="N150" s="78" t="s">
        <v>1825</v>
      </c>
      <c r="O150" s="78"/>
      <c r="P150" s="80">
        <v>135.18</v>
      </c>
    </row>
    <row r="151" spans="1:16" x14ac:dyDescent="0.25">
      <c r="A151" s="72" t="s">
        <v>107</v>
      </c>
      <c r="B151" s="72" t="s">
        <v>704</v>
      </c>
      <c r="C151" s="74">
        <v>2017</v>
      </c>
      <c r="D151" s="81">
        <v>159.13</v>
      </c>
      <c r="E151" s="72" t="s">
        <v>1958</v>
      </c>
      <c r="F151" s="76" t="s">
        <v>1959</v>
      </c>
      <c r="G151" s="72" t="s">
        <v>47</v>
      </c>
      <c r="H151" s="72" t="s">
        <v>1905</v>
      </c>
      <c r="I151" s="72" t="s">
        <v>1893</v>
      </c>
      <c r="J151" s="77" t="s">
        <v>1893</v>
      </c>
      <c r="K151" s="77"/>
      <c r="L151" s="77"/>
      <c r="M151" s="78" t="s">
        <v>1824</v>
      </c>
      <c r="N151" s="78" t="s">
        <v>1825</v>
      </c>
      <c r="O151" s="78"/>
      <c r="P151" s="80">
        <v>159.13</v>
      </c>
    </row>
    <row r="152" spans="1:16" x14ac:dyDescent="0.25">
      <c r="A152" s="72" t="s">
        <v>378</v>
      </c>
      <c r="B152" s="72" t="s">
        <v>705</v>
      </c>
      <c r="C152" s="74">
        <v>2017</v>
      </c>
      <c r="D152" s="81">
        <v>180.53</v>
      </c>
      <c r="E152" s="72" t="s">
        <v>1958</v>
      </c>
      <c r="F152" s="76" t="s">
        <v>1959</v>
      </c>
      <c r="G152" s="72" t="s">
        <v>47</v>
      </c>
      <c r="H152" s="72" t="s">
        <v>1905</v>
      </c>
      <c r="I152" s="72" t="s">
        <v>1893</v>
      </c>
      <c r="J152" s="77" t="s">
        <v>1893</v>
      </c>
      <c r="K152" s="77"/>
      <c r="L152" s="77"/>
      <c r="M152" s="78" t="s">
        <v>1824</v>
      </c>
      <c r="N152" s="78" t="s">
        <v>1825</v>
      </c>
      <c r="O152" s="78"/>
      <c r="P152" s="80">
        <v>180.53</v>
      </c>
    </row>
    <row r="153" spans="1:16" x14ac:dyDescent="0.25">
      <c r="A153" s="72" t="s">
        <v>263</v>
      </c>
      <c r="B153" s="72" t="s">
        <v>706</v>
      </c>
      <c r="C153" s="74">
        <v>2017</v>
      </c>
      <c r="D153" s="81">
        <v>159.11000000000001</v>
      </c>
      <c r="E153" s="72" t="s">
        <v>1958</v>
      </c>
      <c r="F153" s="76" t="s">
        <v>1959</v>
      </c>
      <c r="G153" s="72" t="s">
        <v>47</v>
      </c>
      <c r="H153" s="72" t="s">
        <v>1905</v>
      </c>
      <c r="I153" s="72" t="s">
        <v>1893</v>
      </c>
      <c r="J153" s="77" t="s">
        <v>1893</v>
      </c>
      <c r="K153" s="77"/>
      <c r="L153" s="77"/>
      <c r="M153" s="78" t="s">
        <v>1824</v>
      </c>
      <c r="N153" s="78" t="s">
        <v>1825</v>
      </c>
      <c r="O153" s="78"/>
      <c r="P153" s="80">
        <v>159.11000000000001</v>
      </c>
    </row>
    <row r="154" spans="1:16" x14ac:dyDescent="0.25">
      <c r="A154" s="72" t="s">
        <v>340</v>
      </c>
      <c r="B154" s="72" t="s">
        <v>707</v>
      </c>
      <c r="C154" s="74">
        <v>2017</v>
      </c>
      <c r="D154" s="81">
        <v>180.5</v>
      </c>
      <c r="E154" s="72" t="s">
        <v>1958</v>
      </c>
      <c r="F154" s="76" t="s">
        <v>1959</v>
      </c>
      <c r="G154" s="72" t="s">
        <v>47</v>
      </c>
      <c r="H154" s="72" t="s">
        <v>1905</v>
      </c>
      <c r="I154" s="72" t="s">
        <v>1893</v>
      </c>
      <c r="J154" s="77" t="s">
        <v>1893</v>
      </c>
      <c r="K154" s="77"/>
      <c r="L154" s="77"/>
      <c r="M154" s="78" t="s">
        <v>1824</v>
      </c>
      <c r="N154" s="78" t="s">
        <v>1825</v>
      </c>
      <c r="O154" s="78"/>
      <c r="P154" s="80">
        <v>180.5</v>
      </c>
    </row>
    <row r="155" spans="1:16" x14ac:dyDescent="0.25">
      <c r="A155" s="72" t="s">
        <v>386</v>
      </c>
      <c r="B155" s="72" t="s">
        <v>708</v>
      </c>
      <c r="C155" s="74">
        <v>2017</v>
      </c>
      <c r="D155" s="81">
        <v>186.8</v>
      </c>
      <c r="E155" s="72" t="s">
        <v>1958</v>
      </c>
      <c r="F155" s="76" t="s">
        <v>1959</v>
      </c>
      <c r="G155" s="72" t="s">
        <v>47</v>
      </c>
      <c r="H155" s="72" t="s">
        <v>1905</v>
      </c>
      <c r="I155" s="72" t="s">
        <v>1893</v>
      </c>
      <c r="J155" s="77" t="s">
        <v>1893</v>
      </c>
      <c r="K155" s="77"/>
      <c r="L155" s="77"/>
      <c r="M155" s="78" t="s">
        <v>1824</v>
      </c>
      <c r="N155" s="78" t="s">
        <v>1825</v>
      </c>
      <c r="O155" s="78"/>
      <c r="P155" s="80">
        <v>186.8</v>
      </c>
    </row>
    <row r="156" spans="1:16" x14ac:dyDescent="0.25">
      <c r="A156" s="72" t="s">
        <v>268</v>
      </c>
      <c r="B156" s="72" t="s">
        <v>709</v>
      </c>
      <c r="C156" s="74">
        <v>2017</v>
      </c>
      <c r="D156" s="81">
        <v>215.76</v>
      </c>
      <c r="E156" s="72" t="s">
        <v>1958</v>
      </c>
      <c r="F156" s="76" t="s">
        <v>1959</v>
      </c>
      <c r="G156" s="72" t="s">
        <v>47</v>
      </c>
      <c r="H156" s="72" t="s">
        <v>1905</v>
      </c>
      <c r="I156" s="72" t="s">
        <v>1893</v>
      </c>
      <c r="J156" s="77" t="s">
        <v>1893</v>
      </c>
      <c r="K156" s="77"/>
      <c r="L156" s="77"/>
      <c r="M156" s="78" t="s">
        <v>1824</v>
      </c>
      <c r="N156" s="78" t="s">
        <v>1825</v>
      </c>
      <c r="O156" s="78"/>
      <c r="P156" s="80">
        <v>215.76</v>
      </c>
    </row>
    <row r="157" spans="1:16" x14ac:dyDescent="0.25">
      <c r="A157" s="72" t="s">
        <v>306</v>
      </c>
      <c r="B157" s="72" t="s">
        <v>712</v>
      </c>
      <c r="C157" s="74">
        <v>2017</v>
      </c>
      <c r="D157" s="81">
        <v>217.03</v>
      </c>
      <c r="E157" s="72" t="s">
        <v>1958</v>
      </c>
      <c r="F157" s="76" t="s">
        <v>1959</v>
      </c>
      <c r="G157" s="72" t="s">
        <v>47</v>
      </c>
      <c r="H157" s="72" t="s">
        <v>1905</v>
      </c>
      <c r="I157" s="72" t="s">
        <v>1893</v>
      </c>
      <c r="J157" s="77" t="s">
        <v>1893</v>
      </c>
      <c r="K157" s="77"/>
      <c r="L157" s="77"/>
      <c r="M157" s="78" t="s">
        <v>1824</v>
      </c>
      <c r="N157" s="78" t="s">
        <v>1825</v>
      </c>
      <c r="O157" s="78"/>
      <c r="P157" s="80">
        <v>217.03</v>
      </c>
    </row>
    <row r="158" spans="1:16" x14ac:dyDescent="0.25">
      <c r="A158" s="72" t="s">
        <v>197</v>
      </c>
      <c r="B158" s="72" t="s">
        <v>713</v>
      </c>
      <c r="C158" s="74">
        <v>2017</v>
      </c>
      <c r="D158" s="81">
        <v>246.01</v>
      </c>
      <c r="E158" s="72" t="s">
        <v>1958</v>
      </c>
      <c r="F158" s="76" t="s">
        <v>1959</v>
      </c>
      <c r="G158" s="72" t="s">
        <v>47</v>
      </c>
      <c r="H158" s="72" t="s">
        <v>1905</v>
      </c>
      <c r="I158" s="72" t="s">
        <v>1893</v>
      </c>
      <c r="J158" s="77" t="s">
        <v>1893</v>
      </c>
      <c r="K158" s="77"/>
      <c r="L158" s="77"/>
      <c r="M158" s="78" t="s">
        <v>1824</v>
      </c>
      <c r="N158" s="78" t="s">
        <v>1825</v>
      </c>
      <c r="O158" s="78"/>
      <c r="P158" s="80">
        <v>246.01</v>
      </c>
    </row>
    <row r="159" spans="1:16" x14ac:dyDescent="0.25">
      <c r="A159" s="72" t="s">
        <v>574</v>
      </c>
      <c r="B159" s="72" t="s">
        <v>716</v>
      </c>
      <c r="C159" s="74">
        <v>2017</v>
      </c>
      <c r="D159" s="81">
        <v>154.94999999999999</v>
      </c>
      <c r="E159" s="72" t="s">
        <v>1958</v>
      </c>
      <c r="F159" s="76" t="s">
        <v>1959</v>
      </c>
      <c r="G159" s="72" t="s">
        <v>47</v>
      </c>
      <c r="H159" s="72" t="s">
        <v>1905</v>
      </c>
      <c r="I159" s="72" t="s">
        <v>1893</v>
      </c>
      <c r="J159" s="77" t="s">
        <v>1893</v>
      </c>
      <c r="K159" s="77"/>
      <c r="L159" s="77"/>
      <c r="M159" s="78" t="s">
        <v>1824</v>
      </c>
      <c r="N159" s="78" t="s">
        <v>1825</v>
      </c>
      <c r="O159" s="78"/>
      <c r="P159" s="80">
        <v>154.94999999999999</v>
      </c>
    </row>
    <row r="160" spans="1:16" x14ac:dyDescent="0.25">
      <c r="A160" s="72" t="s">
        <v>576</v>
      </c>
      <c r="B160" s="72" t="s">
        <v>717</v>
      </c>
      <c r="C160" s="74">
        <v>2017</v>
      </c>
      <c r="D160" s="81">
        <v>214.29</v>
      </c>
      <c r="E160" s="72" t="s">
        <v>1958</v>
      </c>
      <c r="F160" s="76" t="s">
        <v>1959</v>
      </c>
      <c r="G160" s="72" t="s">
        <v>47</v>
      </c>
      <c r="H160" s="72" t="s">
        <v>1905</v>
      </c>
      <c r="I160" s="72" t="s">
        <v>1893</v>
      </c>
      <c r="J160" s="77" t="s">
        <v>1893</v>
      </c>
      <c r="K160" s="77"/>
      <c r="L160" s="77"/>
      <c r="M160" s="78" t="s">
        <v>1824</v>
      </c>
      <c r="N160" s="78" t="s">
        <v>1825</v>
      </c>
      <c r="O160" s="78"/>
      <c r="P160" s="80">
        <v>214.29</v>
      </c>
    </row>
    <row r="161" spans="1:16" x14ac:dyDescent="0.25">
      <c r="A161" s="72" t="s">
        <v>93</v>
      </c>
      <c r="B161" s="72" t="s">
        <v>720</v>
      </c>
      <c r="C161" s="74">
        <v>2017</v>
      </c>
      <c r="D161" s="81">
        <v>237.06</v>
      </c>
      <c r="E161" s="72" t="s">
        <v>1958</v>
      </c>
      <c r="F161" s="76" t="s">
        <v>1959</v>
      </c>
      <c r="G161" s="72" t="s">
        <v>47</v>
      </c>
      <c r="H161" s="72" t="s">
        <v>1905</v>
      </c>
      <c r="I161" s="72" t="s">
        <v>1893</v>
      </c>
      <c r="J161" s="77" t="s">
        <v>1893</v>
      </c>
      <c r="K161" s="77"/>
      <c r="L161" s="77"/>
      <c r="M161" s="78" t="s">
        <v>1824</v>
      </c>
      <c r="N161" s="78" t="s">
        <v>1825</v>
      </c>
      <c r="O161" s="78"/>
      <c r="P161" s="80">
        <v>237.06</v>
      </c>
    </row>
    <row r="162" spans="1:16" x14ac:dyDescent="0.25">
      <c r="A162" s="72" t="s">
        <v>188</v>
      </c>
      <c r="B162" s="72" t="s">
        <v>721</v>
      </c>
      <c r="C162" s="74">
        <v>2017</v>
      </c>
      <c r="D162" s="81">
        <v>266.04000000000002</v>
      </c>
      <c r="E162" s="72" t="s">
        <v>1958</v>
      </c>
      <c r="F162" s="76" t="s">
        <v>1959</v>
      </c>
      <c r="G162" s="72" t="s">
        <v>47</v>
      </c>
      <c r="H162" s="72" t="s">
        <v>1905</v>
      </c>
      <c r="I162" s="72" t="s">
        <v>1893</v>
      </c>
      <c r="J162" s="77" t="s">
        <v>1893</v>
      </c>
      <c r="K162" s="77"/>
      <c r="L162" s="77"/>
      <c r="M162" s="78" t="s">
        <v>1824</v>
      </c>
      <c r="N162" s="78" t="s">
        <v>1825</v>
      </c>
      <c r="O162" s="78"/>
      <c r="P162" s="80">
        <v>266.04000000000002</v>
      </c>
    </row>
    <row r="163" spans="1:16" x14ac:dyDescent="0.25">
      <c r="A163" s="72" t="s">
        <v>158</v>
      </c>
      <c r="B163" s="72" t="s">
        <v>736</v>
      </c>
      <c r="C163" s="74">
        <v>2017</v>
      </c>
      <c r="D163" s="81">
        <v>65.430000000000007</v>
      </c>
      <c r="E163" s="72" t="s">
        <v>1958</v>
      </c>
      <c r="F163" s="76" t="s">
        <v>1959</v>
      </c>
      <c r="G163" s="72" t="s">
        <v>47</v>
      </c>
      <c r="H163" s="72" t="s">
        <v>1905</v>
      </c>
      <c r="I163" s="72" t="s">
        <v>1893</v>
      </c>
      <c r="J163" s="77" t="s">
        <v>1893</v>
      </c>
      <c r="K163" s="77"/>
      <c r="L163" s="77"/>
      <c r="M163" s="78" t="s">
        <v>1824</v>
      </c>
      <c r="N163" s="78" t="s">
        <v>1825</v>
      </c>
      <c r="O163" s="78"/>
      <c r="P163" s="80">
        <v>65.430000000000007</v>
      </c>
    </row>
    <row r="164" spans="1:16" x14ac:dyDescent="0.25">
      <c r="A164" s="72" t="s">
        <v>79</v>
      </c>
      <c r="B164" s="72" t="s">
        <v>737</v>
      </c>
      <c r="C164" s="74">
        <v>2017</v>
      </c>
      <c r="D164" s="81">
        <v>101.96</v>
      </c>
      <c r="E164" s="72" t="s">
        <v>1958</v>
      </c>
      <c r="F164" s="76" t="s">
        <v>1959</v>
      </c>
      <c r="G164" s="72" t="s">
        <v>47</v>
      </c>
      <c r="H164" s="72" t="s">
        <v>1905</v>
      </c>
      <c r="I164" s="72" t="s">
        <v>1893</v>
      </c>
      <c r="J164" s="77" t="s">
        <v>1893</v>
      </c>
      <c r="K164" s="77"/>
      <c r="L164" s="77"/>
      <c r="M164" s="78" t="s">
        <v>1824</v>
      </c>
      <c r="N164" s="78" t="s">
        <v>1825</v>
      </c>
      <c r="O164" s="78"/>
      <c r="P164" s="80">
        <v>101.96</v>
      </c>
    </row>
    <row r="165" spans="1:16" x14ac:dyDescent="0.25">
      <c r="A165" s="72" t="s">
        <v>252</v>
      </c>
      <c r="B165" s="72" t="s">
        <v>740</v>
      </c>
      <c r="C165" s="74">
        <v>2017</v>
      </c>
      <c r="D165" s="81">
        <v>82.01</v>
      </c>
      <c r="E165" s="72" t="s">
        <v>1958</v>
      </c>
      <c r="F165" s="76" t="s">
        <v>1959</v>
      </c>
      <c r="G165" s="72" t="s">
        <v>47</v>
      </c>
      <c r="H165" s="72" t="s">
        <v>1905</v>
      </c>
      <c r="I165" s="72" t="s">
        <v>1893</v>
      </c>
      <c r="J165" s="77" t="s">
        <v>1893</v>
      </c>
      <c r="K165" s="77"/>
      <c r="L165" s="77"/>
      <c r="M165" s="78" t="s">
        <v>1824</v>
      </c>
      <c r="N165" s="78" t="s">
        <v>1825</v>
      </c>
      <c r="O165" s="78"/>
      <c r="P165" s="80">
        <v>82.01</v>
      </c>
    </row>
    <row r="166" spans="1:16" x14ac:dyDescent="0.25">
      <c r="A166" s="72" t="s">
        <v>177</v>
      </c>
      <c r="B166" s="72" t="s">
        <v>741</v>
      </c>
      <c r="C166" s="74">
        <v>2017</v>
      </c>
      <c r="D166" s="81">
        <v>118.54</v>
      </c>
      <c r="E166" s="72" t="s">
        <v>1958</v>
      </c>
      <c r="F166" s="76" t="s">
        <v>1959</v>
      </c>
      <c r="G166" s="72" t="s">
        <v>47</v>
      </c>
      <c r="H166" s="72" t="s">
        <v>1905</v>
      </c>
      <c r="I166" s="72" t="s">
        <v>1893</v>
      </c>
      <c r="J166" s="77" t="s">
        <v>1893</v>
      </c>
      <c r="K166" s="77"/>
      <c r="L166" s="77"/>
      <c r="M166" s="78" t="s">
        <v>1824</v>
      </c>
      <c r="N166" s="78" t="s">
        <v>1825</v>
      </c>
      <c r="O166" s="78"/>
      <c r="P166" s="80">
        <v>118.54</v>
      </c>
    </row>
    <row r="167" spans="1:16" x14ac:dyDescent="0.25">
      <c r="A167" s="72" t="s">
        <v>220</v>
      </c>
      <c r="B167" s="72" t="s">
        <v>756</v>
      </c>
      <c r="C167" s="74">
        <v>2017</v>
      </c>
      <c r="D167" s="81">
        <v>96.03</v>
      </c>
      <c r="E167" s="72" t="s">
        <v>1958</v>
      </c>
      <c r="F167" s="76" t="s">
        <v>1959</v>
      </c>
      <c r="G167" s="72" t="s">
        <v>47</v>
      </c>
      <c r="H167" s="72" t="s">
        <v>1905</v>
      </c>
      <c r="I167" s="72" t="s">
        <v>1893</v>
      </c>
      <c r="J167" s="77" t="s">
        <v>1893</v>
      </c>
      <c r="K167" s="77"/>
      <c r="L167" s="77"/>
      <c r="M167" s="78" t="s">
        <v>1824</v>
      </c>
      <c r="N167" s="78" t="s">
        <v>1825</v>
      </c>
      <c r="O167" s="78"/>
      <c r="P167" s="80">
        <v>96.03</v>
      </c>
    </row>
    <row r="168" spans="1:16" x14ac:dyDescent="0.25">
      <c r="A168" s="72" t="s">
        <v>266</v>
      </c>
      <c r="B168" s="72" t="s">
        <v>757</v>
      </c>
      <c r="C168" s="74">
        <v>2017</v>
      </c>
      <c r="D168" s="81">
        <v>132.58000000000001</v>
      </c>
      <c r="E168" s="72" t="s">
        <v>1958</v>
      </c>
      <c r="F168" s="76" t="s">
        <v>1959</v>
      </c>
      <c r="G168" s="72" t="s">
        <v>47</v>
      </c>
      <c r="H168" s="72" t="s">
        <v>1905</v>
      </c>
      <c r="I168" s="72" t="s">
        <v>1893</v>
      </c>
      <c r="J168" s="77" t="s">
        <v>1893</v>
      </c>
      <c r="K168" s="77"/>
      <c r="L168" s="77"/>
      <c r="M168" s="78" t="s">
        <v>1824</v>
      </c>
      <c r="N168" s="78" t="s">
        <v>1825</v>
      </c>
      <c r="O168" s="78"/>
      <c r="P168" s="80">
        <v>132.58000000000001</v>
      </c>
    </row>
    <row r="169" spans="1:16" x14ac:dyDescent="0.25">
      <c r="A169" s="72" t="s">
        <v>235</v>
      </c>
      <c r="B169" s="72" t="s">
        <v>758</v>
      </c>
      <c r="C169" s="74">
        <v>2017</v>
      </c>
      <c r="D169" s="81">
        <v>105.08</v>
      </c>
      <c r="E169" s="72" t="s">
        <v>1958</v>
      </c>
      <c r="F169" s="76" t="s">
        <v>1959</v>
      </c>
      <c r="G169" s="72" t="s">
        <v>47</v>
      </c>
      <c r="H169" s="72" t="s">
        <v>1905</v>
      </c>
      <c r="I169" s="72" t="s">
        <v>1893</v>
      </c>
      <c r="J169" s="77" t="s">
        <v>1893</v>
      </c>
      <c r="K169" s="77"/>
      <c r="L169" s="77"/>
      <c r="M169" s="78" t="s">
        <v>1824</v>
      </c>
      <c r="N169" s="78" t="s">
        <v>1825</v>
      </c>
      <c r="O169" s="78"/>
      <c r="P169" s="80">
        <v>105.08</v>
      </c>
    </row>
    <row r="170" spans="1:16" x14ac:dyDescent="0.25">
      <c r="A170" s="72" t="s">
        <v>300</v>
      </c>
      <c r="B170" s="72" t="s">
        <v>759</v>
      </c>
      <c r="C170" s="74">
        <v>2017</v>
      </c>
      <c r="D170" s="81">
        <v>141.62</v>
      </c>
      <c r="E170" s="72" t="s">
        <v>1958</v>
      </c>
      <c r="F170" s="76" t="s">
        <v>1959</v>
      </c>
      <c r="G170" s="72" t="s">
        <v>47</v>
      </c>
      <c r="H170" s="72" t="s">
        <v>1905</v>
      </c>
      <c r="I170" s="72" t="s">
        <v>1893</v>
      </c>
      <c r="J170" s="77" t="s">
        <v>1893</v>
      </c>
      <c r="K170" s="77"/>
      <c r="L170" s="77"/>
      <c r="M170" s="78" t="s">
        <v>1824</v>
      </c>
      <c r="N170" s="78" t="s">
        <v>1825</v>
      </c>
      <c r="O170" s="78"/>
      <c r="P170" s="80">
        <v>141.62</v>
      </c>
    </row>
    <row r="171" spans="1:16" x14ac:dyDescent="0.25">
      <c r="A171" s="72" t="s">
        <v>275</v>
      </c>
      <c r="B171" s="72" t="s">
        <v>765</v>
      </c>
      <c r="C171" s="74">
        <v>2017</v>
      </c>
      <c r="D171" s="81">
        <v>108.95</v>
      </c>
      <c r="E171" s="72" t="s">
        <v>1958</v>
      </c>
      <c r="F171" s="76" t="s">
        <v>1959</v>
      </c>
      <c r="G171" s="72" t="s">
        <v>47</v>
      </c>
      <c r="H171" s="72" t="s">
        <v>1905</v>
      </c>
      <c r="I171" s="72" t="s">
        <v>1893</v>
      </c>
      <c r="J171" s="77" t="s">
        <v>1893</v>
      </c>
      <c r="K171" s="77"/>
      <c r="L171" s="77"/>
      <c r="M171" s="78" t="s">
        <v>1824</v>
      </c>
      <c r="N171" s="78" t="s">
        <v>1825</v>
      </c>
      <c r="O171" s="78"/>
      <c r="P171" s="80">
        <v>108.95</v>
      </c>
    </row>
    <row r="172" spans="1:16" x14ac:dyDescent="0.25">
      <c r="A172" s="72" t="s">
        <v>231</v>
      </c>
      <c r="B172" s="72" t="s">
        <v>766</v>
      </c>
      <c r="C172" s="74">
        <v>2017</v>
      </c>
      <c r="D172" s="81">
        <v>145.47</v>
      </c>
      <c r="E172" s="72" t="s">
        <v>1958</v>
      </c>
      <c r="F172" s="76" t="s">
        <v>1959</v>
      </c>
      <c r="G172" s="72" t="s">
        <v>47</v>
      </c>
      <c r="H172" s="72" t="s">
        <v>1905</v>
      </c>
      <c r="I172" s="72" t="s">
        <v>1893</v>
      </c>
      <c r="J172" s="77" t="s">
        <v>1893</v>
      </c>
      <c r="K172" s="77"/>
      <c r="L172" s="77"/>
      <c r="M172" s="78" t="s">
        <v>1824</v>
      </c>
      <c r="N172" s="78" t="s">
        <v>1825</v>
      </c>
      <c r="O172" s="78"/>
      <c r="P172" s="80">
        <v>145.47</v>
      </c>
    </row>
    <row r="173" spans="1:16" x14ac:dyDescent="0.25">
      <c r="A173" s="72" t="s">
        <v>318</v>
      </c>
      <c r="B173" s="72" t="s">
        <v>767</v>
      </c>
      <c r="C173" s="74">
        <v>2017</v>
      </c>
      <c r="D173" s="81">
        <v>119.62</v>
      </c>
      <c r="E173" s="72" t="s">
        <v>1958</v>
      </c>
      <c r="F173" s="76" t="s">
        <v>1959</v>
      </c>
      <c r="G173" s="72" t="s">
        <v>47</v>
      </c>
      <c r="H173" s="72" t="s">
        <v>1905</v>
      </c>
      <c r="I173" s="72" t="s">
        <v>1893</v>
      </c>
      <c r="J173" s="77" t="s">
        <v>1893</v>
      </c>
      <c r="K173" s="77"/>
      <c r="L173" s="77"/>
      <c r="M173" s="78" t="s">
        <v>1824</v>
      </c>
      <c r="N173" s="78" t="s">
        <v>1825</v>
      </c>
      <c r="O173" s="78"/>
      <c r="P173" s="80">
        <v>119.62</v>
      </c>
    </row>
    <row r="174" spans="1:16" x14ac:dyDescent="0.25">
      <c r="A174" s="72" t="s">
        <v>105</v>
      </c>
      <c r="B174" s="72" t="s">
        <v>768</v>
      </c>
      <c r="C174" s="74">
        <v>2017</v>
      </c>
      <c r="D174" s="81">
        <v>156.16</v>
      </c>
      <c r="E174" s="72" t="s">
        <v>1958</v>
      </c>
      <c r="F174" s="76" t="s">
        <v>1959</v>
      </c>
      <c r="G174" s="72" t="s">
        <v>47</v>
      </c>
      <c r="H174" s="72" t="s">
        <v>1905</v>
      </c>
      <c r="I174" s="72" t="s">
        <v>1893</v>
      </c>
      <c r="J174" s="77" t="s">
        <v>1893</v>
      </c>
      <c r="K174" s="77"/>
      <c r="L174" s="77"/>
      <c r="M174" s="78" t="s">
        <v>1824</v>
      </c>
      <c r="N174" s="78" t="s">
        <v>1825</v>
      </c>
      <c r="O174" s="78"/>
      <c r="P174" s="80">
        <v>156.16</v>
      </c>
    </row>
    <row r="175" spans="1:16" x14ac:dyDescent="0.25">
      <c r="A175" s="72" t="s">
        <v>288</v>
      </c>
      <c r="B175" s="72" t="s">
        <v>2045</v>
      </c>
      <c r="C175" s="74">
        <v>2017</v>
      </c>
      <c r="D175" s="81">
        <v>131.24</v>
      </c>
      <c r="E175" s="72" t="s">
        <v>1958</v>
      </c>
      <c r="F175" s="76" t="s">
        <v>1959</v>
      </c>
      <c r="G175" s="72" t="s">
        <v>47</v>
      </c>
      <c r="H175" s="72" t="s">
        <v>1905</v>
      </c>
      <c r="I175" s="72" t="s">
        <v>1893</v>
      </c>
      <c r="J175" s="77" t="s">
        <v>1893</v>
      </c>
      <c r="K175" s="77"/>
      <c r="L175" s="77"/>
      <c r="M175" s="78" t="s">
        <v>1824</v>
      </c>
      <c r="N175" s="78" t="s">
        <v>1825</v>
      </c>
      <c r="O175" s="78"/>
      <c r="P175" s="80">
        <v>131.24</v>
      </c>
    </row>
    <row r="176" spans="1:16" x14ac:dyDescent="0.25">
      <c r="A176" s="72" t="s">
        <v>366</v>
      </c>
      <c r="B176" s="72" t="s">
        <v>774</v>
      </c>
      <c r="C176" s="74">
        <v>2017</v>
      </c>
      <c r="D176" s="81">
        <v>181.2</v>
      </c>
      <c r="E176" s="72" t="s">
        <v>1958</v>
      </c>
      <c r="F176" s="76" t="s">
        <v>1959</v>
      </c>
      <c r="G176" s="72" t="s">
        <v>47</v>
      </c>
      <c r="H176" s="72" t="s">
        <v>1905</v>
      </c>
      <c r="I176" s="72" t="s">
        <v>1893</v>
      </c>
      <c r="J176" s="77" t="s">
        <v>1893</v>
      </c>
      <c r="K176" s="77"/>
      <c r="L176" s="77"/>
      <c r="M176" s="78" t="s">
        <v>1824</v>
      </c>
      <c r="N176" s="78" t="s">
        <v>1825</v>
      </c>
      <c r="O176" s="78"/>
      <c r="P176" s="80">
        <v>181.2</v>
      </c>
    </row>
    <row r="177" spans="1:16" x14ac:dyDescent="0.25">
      <c r="A177" s="72" t="s">
        <v>202</v>
      </c>
      <c r="B177" s="72" t="s">
        <v>775</v>
      </c>
      <c r="C177" s="74">
        <v>2017</v>
      </c>
      <c r="D177" s="81">
        <v>146.69999999999999</v>
      </c>
      <c r="E177" s="72" t="s">
        <v>1958</v>
      </c>
      <c r="F177" s="76" t="s">
        <v>1959</v>
      </c>
      <c r="G177" s="72" t="s">
        <v>47</v>
      </c>
      <c r="H177" s="72" t="s">
        <v>1905</v>
      </c>
      <c r="I177" s="72" t="s">
        <v>1893</v>
      </c>
      <c r="J177" s="77" t="s">
        <v>1893</v>
      </c>
      <c r="K177" s="77"/>
      <c r="L177" s="77"/>
      <c r="M177" s="78" t="s">
        <v>1824</v>
      </c>
      <c r="N177" s="78" t="s">
        <v>1825</v>
      </c>
      <c r="O177" s="78"/>
      <c r="P177" s="80">
        <v>146.69999999999999</v>
      </c>
    </row>
    <row r="178" spans="1:16" x14ac:dyDescent="0.25">
      <c r="A178" s="72" t="s">
        <v>350</v>
      </c>
      <c r="B178" s="72" t="s">
        <v>776</v>
      </c>
      <c r="C178" s="74">
        <v>2017</v>
      </c>
      <c r="D178" s="81">
        <v>196.72</v>
      </c>
      <c r="E178" s="72" t="s">
        <v>1958</v>
      </c>
      <c r="F178" s="76" t="s">
        <v>1959</v>
      </c>
      <c r="G178" s="72" t="s">
        <v>47</v>
      </c>
      <c r="H178" s="72" t="s">
        <v>1905</v>
      </c>
      <c r="I178" s="72" t="s">
        <v>1893</v>
      </c>
      <c r="J178" s="77" t="s">
        <v>1893</v>
      </c>
      <c r="K178" s="77"/>
      <c r="L178" s="77"/>
      <c r="M178" s="78" t="s">
        <v>1824</v>
      </c>
      <c r="N178" s="78" t="s">
        <v>1825</v>
      </c>
      <c r="O178" s="78"/>
      <c r="P178" s="80">
        <v>196.72</v>
      </c>
    </row>
    <row r="179" spans="1:16" x14ac:dyDescent="0.25">
      <c r="A179" s="72" t="s">
        <v>310</v>
      </c>
      <c r="B179" s="72" t="s">
        <v>782</v>
      </c>
      <c r="C179" s="74">
        <v>2017</v>
      </c>
      <c r="D179" s="81">
        <v>124.45</v>
      </c>
      <c r="E179" s="72" t="s">
        <v>1958</v>
      </c>
      <c r="F179" s="76" t="s">
        <v>1959</v>
      </c>
      <c r="G179" s="72" t="s">
        <v>47</v>
      </c>
      <c r="H179" s="72" t="s">
        <v>1905</v>
      </c>
      <c r="I179" s="72" t="s">
        <v>1893</v>
      </c>
      <c r="J179" s="77" t="s">
        <v>1893</v>
      </c>
      <c r="K179" s="77"/>
      <c r="L179" s="77"/>
      <c r="M179" s="78" t="s">
        <v>1824</v>
      </c>
      <c r="N179" s="78" t="s">
        <v>1825</v>
      </c>
      <c r="O179" s="78"/>
      <c r="P179" s="80">
        <v>124.45</v>
      </c>
    </row>
    <row r="180" spans="1:16" x14ac:dyDescent="0.25">
      <c r="A180" s="72" t="s">
        <v>102</v>
      </c>
      <c r="B180" s="72" t="s">
        <v>783</v>
      </c>
      <c r="C180" s="74">
        <v>2017</v>
      </c>
      <c r="D180" s="81">
        <v>174.43</v>
      </c>
      <c r="E180" s="72" t="s">
        <v>1958</v>
      </c>
      <c r="F180" s="76" t="s">
        <v>1959</v>
      </c>
      <c r="G180" s="72" t="s">
        <v>47</v>
      </c>
      <c r="H180" s="72" t="s">
        <v>1905</v>
      </c>
      <c r="I180" s="72" t="s">
        <v>1893</v>
      </c>
      <c r="J180" s="77" t="s">
        <v>1893</v>
      </c>
      <c r="K180" s="77"/>
      <c r="L180" s="77"/>
      <c r="M180" s="78" t="s">
        <v>1824</v>
      </c>
      <c r="N180" s="78" t="s">
        <v>1825</v>
      </c>
      <c r="O180" s="78"/>
      <c r="P180" s="80">
        <v>174.43</v>
      </c>
    </row>
    <row r="181" spans="1:16" x14ac:dyDescent="0.25">
      <c r="A181" s="72" t="s">
        <v>64</v>
      </c>
      <c r="B181" s="72" t="s">
        <v>784</v>
      </c>
      <c r="C181" s="74">
        <v>2017</v>
      </c>
      <c r="D181" s="81">
        <v>140.79</v>
      </c>
      <c r="E181" s="72" t="s">
        <v>1958</v>
      </c>
      <c r="F181" s="76" t="s">
        <v>1959</v>
      </c>
      <c r="G181" s="72" t="s">
        <v>47</v>
      </c>
      <c r="H181" s="72" t="s">
        <v>1905</v>
      </c>
      <c r="I181" s="72" t="s">
        <v>1893</v>
      </c>
      <c r="J181" s="77" t="s">
        <v>1893</v>
      </c>
      <c r="K181" s="77"/>
      <c r="L181" s="77"/>
      <c r="M181" s="78" t="s">
        <v>1824</v>
      </c>
      <c r="N181" s="78" t="s">
        <v>1825</v>
      </c>
      <c r="O181" s="78"/>
      <c r="P181" s="80">
        <v>140.79</v>
      </c>
    </row>
    <row r="182" spans="1:16" x14ac:dyDescent="0.25">
      <c r="A182" s="72" t="s">
        <v>223</v>
      </c>
      <c r="B182" s="72" t="s">
        <v>785</v>
      </c>
      <c r="C182" s="74">
        <v>2017</v>
      </c>
      <c r="D182" s="81">
        <v>190.78</v>
      </c>
      <c r="E182" s="72" t="s">
        <v>1958</v>
      </c>
      <c r="F182" s="76" t="s">
        <v>1959</v>
      </c>
      <c r="G182" s="72" t="s">
        <v>47</v>
      </c>
      <c r="H182" s="72" t="s">
        <v>1905</v>
      </c>
      <c r="I182" s="72" t="s">
        <v>1893</v>
      </c>
      <c r="J182" s="77" t="s">
        <v>1893</v>
      </c>
      <c r="K182" s="77"/>
      <c r="L182" s="77"/>
      <c r="M182" s="78" t="s">
        <v>1824</v>
      </c>
      <c r="N182" s="78" t="s">
        <v>1825</v>
      </c>
      <c r="O182" s="78"/>
      <c r="P182" s="80">
        <v>190.78</v>
      </c>
    </row>
    <row r="183" spans="1:16" x14ac:dyDescent="0.25">
      <c r="A183" s="72" t="s">
        <v>147</v>
      </c>
      <c r="B183" s="72" t="s">
        <v>791</v>
      </c>
      <c r="C183" s="74">
        <v>2017</v>
      </c>
      <c r="D183" s="81">
        <v>161.22999999999999</v>
      </c>
      <c r="E183" s="72" t="s">
        <v>1958</v>
      </c>
      <c r="F183" s="76" t="s">
        <v>1959</v>
      </c>
      <c r="G183" s="72" t="s">
        <v>47</v>
      </c>
      <c r="H183" s="72" t="s">
        <v>1905</v>
      </c>
      <c r="I183" s="72" t="s">
        <v>1893</v>
      </c>
      <c r="J183" s="77" t="s">
        <v>1893</v>
      </c>
      <c r="K183" s="77"/>
      <c r="L183" s="77"/>
      <c r="M183" s="78" t="s">
        <v>1824</v>
      </c>
      <c r="N183" s="78" t="s">
        <v>1825</v>
      </c>
      <c r="O183" s="78"/>
      <c r="P183" s="80">
        <v>161.22999999999999</v>
      </c>
    </row>
    <row r="184" spans="1:16" x14ac:dyDescent="0.25">
      <c r="A184" s="72" t="s">
        <v>142</v>
      </c>
      <c r="B184" s="72" t="s">
        <v>792</v>
      </c>
      <c r="C184" s="74">
        <v>2017</v>
      </c>
      <c r="D184" s="81">
        <v>245.73</v>
      </c>
      <c r="E184" s="72" t="s">
        <v>1958</v>
      </c>
      <c r="F184" s="76" t="s">
        <v>1959</v>
      </c>
      <c r="G184" s="72" t="s">
        <v>47</v>
      </c>
      <c r="H184" s="72" t="s">
        <v>1905</v>
      </c>
      <c r="I184" s="72" t="s">
        <v>1893</v>
      </c>
      <c r="J184" s="77" t="s">
        <v>1893</v>
      </c>
      <c r="K184" s="77"/>
      <c r="L184" s="77"/>
      <c r="M184" s="78" t="s">
        <v>1824</v>
      </c>
      <c r="N184" s="78" t="s">
        <v>1825</v>
      </c>
      <c r="O184" s="78"/>
      <c r="P184" s="80">
        <v>245.73</v>
      </c>
    </row>
    <row r="185" spans="1:16" x14ac:dyDescent="0.25">
      <c r="A185" s="72" t="s">
        <v>329</v>
      </c>
      <c r="B185" s="72" t="s">
        <v>793</v>
      </c>
      <c r="C185" s="74">
        <v>2017</v>
      </c>
      <c r="D185" s="81">
        <v>182.51</v>
      </c>
      <c r="E185" s="72" t="s">
        <v>1958</v>
      </c>
      <c r="F185" s="76" t="s">
        <v>1959</v>
      </c>
      <c r="G185" s="72" t="s">
        <v>47</v>
      </c>
      <c r="H185" s="72" t="s">
        <v>1905</v>
      </c>
      <c r="I185" s="72" t="s">
        <v>1893</v>
      </c>
      <c r="J185" s="77" t="s">
        <v>1893</v>
      </c>
      <c r="K185" s="77"/>
      <c r="L185" s="77"/>
      <c r="M185" s="78" t="s">
        <v>1824</v>
      </c>
      <c r="N185" s="78" t="s">
        <v>1825</v>
      </c>
      <c r="O185" s="78"/>
      <c r="P185" s="80">
        <v>182.51</v>
      </c>
    </row>
    <row r="186" spans="1:16" x14ac:dyDescent="0.25">
      <c r="A186" s="72" t="s">
        <v>183</v>
      </c>
      <c r="B186" s="72" t="s">
        <v>794</v>
      </c>
      <c r="C186" s="74">
        <v>2017</v>
      </c>
      <c r="D186" s="81">
        <v>267.01</v>
      </c>
      <c r="E186" s="72" t="s">
        <v>1958</v>
      </c>
      <c r="F186" s="76" t="s">
        <v>1959</v>
      </c>
      <c r="G186" s="72" t="s">
        <v>47</v>
      </c>
      <c r="H186" s="72" t="s">
        <v>1905</v>
      </c>
      <c r="I186" s="72" t="s">
        <v>1893</v>
      </c>
      <c r="J186" s="77" t="s">
        <v>1893</v>
      </c>
      <c r="K186" s="77"/>
      <c r="L186" s="77"/>
      <c r="M186" s="78" t="s">
        <v>1824</v>
      </c>
      <c r="N186" s="78" t="s">
        <v>1825</v>
      </c>
      <c r="O186" s="78"/>
      <c r="P186" s="80">
        <v>267.01</v>
      </c>
    </row>
    <row r="187" spans="1:16" x14ac:dyDescent="0.25">
      <c r="A187" s="72" t="s">
        <v>373</v>
      </c>
      <c r="B187" s="72" t="s">
        <v>800</v>
      </c>
      <c r="C187" s="74">
        <v>2017</v>
      </c>
      <c r="D187" s="81">
        <v>156.63999999999999</v>
      </c>
      <c r="E187" s="72" t="s">
        <v>1958</v>
      </c>
      <c r="F187" s="76" t="s">
        <v>1959</v>
      </c>
      <c r="G187" s="72" t="s">
        <v>47</v>
      </c>
      <c r="H187" s="72" t="s">
        <v>1905</v>
      </c>
      <c r="I187" s="72" t="s">
        <v>1893</v>
      </c>
      <c r="J187" s="77" t="s">
        <v>1893</v>
      </c>
      <c r="K187" s="77"/>
      <c r="L187" s="77"/>
      <c r="M187" s="78" t="s">
        <v>1824</v>
      </c>
      <c r="N187" s="78" t="s">
        <v>1825</v>
      </c>
      <c r="O187" s="78"/>
      <c r="P187" s="80">
        <v>156.63999999999999</v>
      </c>
    </row>
    <row r="188" spans="1:16" x14ac:dyDescent="0.25">
      <c r="A188" s="72" t="s">
        <v>250</v>
      </c>
      <c r="B188" s="72" t="s">
        <v>801</v>
      </c>
      <c r="C188" s="74">
        <v>2017</v>
      </c>
      <c r="D188" s="81">
        <v>206.62</v>
      </c>
      <c r="E188" s="72" t="s">
        <v>1958</v>
      </c>
      <c r="F188" s="76" t="s">
        <v>1959</v>
      </c>
      <c r="G188" s="72" t="s">
        <v>47</v>
      </c>
      <c r="H188" s="72" t="s">
        <v>1905</v>
      </c>
      <c r="I188" s="72" t="s">
        <v>1893</v>
      </c>
      <c r="J188" s="77" t="s">
        <v>1893</v>
      </c>
      <c r="K188" s="77"/>
      <c r="L188" s="77"/>
      <c r="M188" s="78" t="s">
        <v>1824</v>
      </c>
      <c r="N188" s="78" t="s">
        <v>1825</v>
      </c>
      <c r="O188" s="78"/>
      <c r="P188" s="80">
        <v>206.62</v>
      </c>
    </row>
    <row r="189" spans="1:16" x14ac:dyDescent="0.25">
      <c r="A189" s="72" t="s">
        <v>282</v>
      </c>
      <c r="B189" s="72" t="s">
        <v>802</v>
      </c>
      <c r="C189" s="74">
        <v>2017</v>
      </c>
      <c r="D189" s="81">
        <v>172.13</v>
      </c>
      <c r="E189" s="72" t="s">
        <v>1958</v>
      </c>
      <c r="F189" s="76" t="s">
        <v>1959</v>
      </c>
      <c r="G189" s="72" t="s">
        <v>47</v>
      </c>
      <c r="H189" s="72" t="s">
        <v>1905</v>
      </c>
      <c r="I189" s="72" t="s">
        <v>1893</v>
      </c>
      <c r="J189" s="77" t="s">
        <v>1893</v>
      </c>
      <c r="K189" s="77"/>
      <c r="L189" s="77"/>
      <c r="M189" s="78" t="s">
        <v>1824</v>
      </c>
      <c r="N189" s="78" t="s">
        <v>1825</v>
      </c>
      <c r="O189" s="78"/>
      <c r="P189" s="80">
        <v>172.13</v>
      </c>
    </row>
    <row r="190" spans="1:16" x14ac:dyDescent="0.25">
      <c r="A190" s="72" t="s">
        <v>352</v>
      </c>
      <c r="B190" s="72" t="s">
        <v>803</v>
      </c>
      <c r="C190" s="74">
        <v>2017</v>
      </c>
      <c r="D190" s="81">
        <v>222.1</v>
      </c>
      <c r="E190" s="72" t="s">
        <v>1958</v>
      </c>
      <c r="F190" s="76" t="s">
        <v>1959</v>
      </c>
      <c r="G190" s="72" t="s">
        <v>47</v>
      </c>
      <c r="H190" s="72" t="s">
        <v>1905</v>
      </c>
      <c r="I190" s="72" t="s">
        <v>1893</v>
      </c>
      <c r="J190" s="77" t="s">
        <v>1893</v>
      </c>
      <c r="K190" s="77"/>
      <c r="L190" s="77"/>
      <c r="M190" s="78" t="s">
        <v>1824</v>
      </c>
      <c r="N190" s="78" t="s">
        <v>1825</v>
      </c>
      <c r="O190" s="78"/>
      <c r="P190" s="80">
        <v>222.1</v>
      </c>
    </row>
    <row r="191" spans="1:16" x14ac:dyDescent="0.25">
      <c r="A191" s="72" t="s">
        <v>126</v>
      </c>
      <c r="B191" s="72" t="s">
        <v>744</v>
      </c>
      <c r="C191" s="74">
        <v>2017</v>
      </c>
      <c r="D191" s="81">
        <v>131.13</v>
      </c>
      <c r="E191" s="72" t="s">
        <v>1958</v>
      </c>
      <c r="F191" s="76" t="s">
        <v>1959</v>
      </c>
      <c r="G191" s="72" t="s">
        <v>47</v>
      </c>
      <c r="H191" s="72" t="s">
        <v>1905</v>
      </c>
      <c r="I191" s="72" t="s">
        <v>1893</v>
      </c>
      <c r="J191" s="77" t="s">
        <v>1893</v>
      </c>
      <c r="K191" s="77"/>
      <c r="L191" s="77"/>
      <c r="M191" s="78" t="s">
        <v>1824</v>
      </c>
      <c r="N191" s="78" t="s">
        <v>1825</v>
      </c>
      <c r="O191" s="78"/>
      <c r="P191" s="80">
        <v>131.13</v>
      </c>
    </row>
    <row r="192" spans="1:16" x14ac:dyDescent="0.25">
      <c r="A192" s="72" t="s">
        <v>257</v>
      </c>
      <c r="B192" s="72" t="s">
        <v>747</v>
      </c>
      <c r="C192" s="74">
        <v>2017</v>
      </c>
      <c r="D192" s="81">
        <v>170.49</v>
      </c>
      <c r="E192" s="72" t="s">
        <v>1958</v>
      </c>
      <c r="F192" s="76" t="s">
        <v>1959</v>
      </c>
      <c r="G192" s="72" t="s">
        <v>47</v>
      </c>
      <c r="H192" s="72" t="s">
        <v>1905</v>
      </c>
      <c r="I192" s="72" t="s">
        <v>1893</v>
      </c>
      <c r="J192" s="77" t="s">
        <v>1893</v>
      </c>
      <c r="K192" s="77"/>
      <c r="L192" s="77"/>
      <c r="M192" s="78" t="s">
        <v>1824</v>
      </c>
      <c r="N192" s="78" t="s">
        <v>1825</v>
      </c>
      <c r="O192" s="78"/>
      <c r="P192" s="80">
        <v>170.49</v>
      </c>
    </row>
    <row r="193" spans="1:16" x14ac:dyDescent="0.25">
      <c r="A193" s="72" t="s">
        <v>272</v>
      </c>
      <c r="B193" s="72" t="s">
        <v>749</v>
      </c>
      <c r="C193" s="74">
        <v>2017</v>
      </c>
      <c r="D193" s="81">
        <v>211.4</v>
      </c>
      <c r="E193" s="72" t="s">
        <v>1958</v>
      </c>
      <c r="F193" s="76" t="s">
        <v>1959</v>
      </c>
      <c r="G193" s="72" t="s">
        <v>47</v>
      </c>
      <c r="H193" s="72" t="s">
        <v>1905</v>
      </c>
      <c r="I193" s="72" t="s">
        <v>1893</v>
      </c>
      <c r="J193" s="77" t="s">
        <v>1893</v>
      </c>
      <c r="K193" s="77"/>
      <c r="L193" s="77"/>
      <c r="M193" s="78" t="s">
        <v>1824</v>
      </c>
      <c r="N193" s="78" t="s">
        <v>1825</v>
      </c>
      <c r="O193" s="78"/>
      <c r="P193" s="80">
        <v>211.4</v>
      </c>
    </row>
    <row r="194" spans="1:16" x14ac:dyDescent="0.25">
      <c r="A194" s="72" t="s">
        <v>241</v>
      </c>
      <c r="B194" s="72" t="s">
        <v>751</v>
      </c>
      <c r="C194" s="74">
        <v>2017</v>
      </c>
      <c r="D194" s="81">
        <v>250.48</v>
      </c>
      <c r="E194" s="72" t="s">
        <v>1958</v>
      </c>
      <c r="F194" s="76" t="s">
        <v>1959</v>
      </c>
      <c r="G194" s="72" t="s">
        <v>47</v>
      </c>
      <c r="H194" s="72" t="s">
        <v>1905</v>
      </c>
      <c r="I194" s="72" t="s">
        <v>1893</v>
      </c>
      <c r="J194" s="77" t="s">
        <v>1893</v>
      </c>
      <c r="K194" s="77"/>
      <c r="L194" s="77"/>
      <c r="M194" s="78" t="s">
        <v>1824</v>
      </c>
      <c r="N194" s="78" t="s">
        <v>1825</v>
      </c>
      <c r="O194" s="78"/>
      <c r="P194" s="80">
        <v>250.48</v>
      </c>
    </row>
    <row r="195" spans="1:16" x14ac:dyDescent="0.25">
      <c r="A195" s="72" t="s">
        <v>206</v>
      </c>
      <c r="B195" s="72" t="s">
        <v>753</v>
      </c>
      <c r="C195" s="74">
        <v>2017</v>
      </c>
      <c r="D195" s="81">
        <v>249.3</v>
      </c>
      <c r="E195" s="72" t="s">
        <v>1958</v>
      </c>
      <c r="F195" s="76" t="s">
        <v>1959</v>
      </c>
      <c r="G195" s="72" t="s">
        <v>47</v>
      </c>
      <c r="H195" s="72" t="s">
        <v>1905</v>
      </c>
      <c r="I195" s="72" t="s">
        <v>1893</v>
      </c>
      <c r="J195" s="77" t="s">
        <v>1893</v>
      </c>
      <c r="K195" s="77"/>
      <c r="L195" s="77"/>
      <c r="M195" s="78" t="s">
        <v>1824</v>
      </c>
      <c r="N195" s="78" t="s">
        <v>1825</v>
      </c>
      <c r="O195" s="78"/>
      <c r="P195" s="80">
        <v>249.3</v>
      </c>
    </row>
    <row r="196" spans="1:16" x14ac:dyDescent="0.25">
      <c r="A196" s="72" t="s">
        <v>566</v>
      </c>
      <c r="B196" s="72" t="s">
        <v>755</v>
      </c>
      <c r="C196" s="74">
        <v>2017</v>
      </c>
      <c r="D196" s="81">
        <v>326.2</v>
      </c>
      <c r="E196" s="72" t="s">
        <v>1958</v>
      </c>
      <c r="F196" s="76" t="s">
        <v>1959</v>
      </c>
      <c r="G196" s="72" t="s">
        <v>47</v>
      </c>
      <c r="H196" s="72" t="s">
        <v>1905</v>
      </c>
      <c r="I196" s="72" t="s">
        <v>1893</v>
      </c>
      <c r="J196" s="77" t="s">
        <v>1893</v>
      </c>
      <c r="K196" s="77"/>
      <c r="L196" s="77"/>
      <c r="M196" s="78" t="s">
        <v>1824</v>
      </c>
      <c r="N196" s="78" t="s">
        <v>1825</v>
      </c>
      <c r="O196" s="78"/>
      <c r="P196" s="80">
        <v>326.2</v>
      </c>
    </row>
    <row r="197" spans="1:16" x14ac:dyDescent="0.25">
      <c r="A197" s="72" t="s">
        <v>217</v>
      </c>
      <c r="B197" s="72" t="s">
        <v>810</v>
      </c>
      <c r="C197" s="74">
        <v>2017</v>
      </c>
      <c r="D197" s="81">
        <v>87.72</v>
      </c>
      <c r="E197" s="72" t="s">
        <v>1958</v>
      </c>
      <c r="F197" s="76" t="s">
        <v>1959</v>
      </c>
      <c r="G197" s="72" t="s">
        <v>47</v>
      </c>
      <c r="H197" s="72" t="s">
        <v>1905</v>
      </c>
      <c r="I197" s="72" t="s">
        <v>1893</v>
      </c>
      <c r="J197" s="77" t="s">
        <v>1893</v>
      </c>
      <c r="K197" s="77"/>
      <c r="L197" s="77"/>
      <c r="M197" s="78" t="s">
        <v>1824</v>
      </c>
      <c r="N197" s="78" t="s">
        <v>1825</v>
      </c>
      <c r="O197" s="78"/>
      <c r="P197" s="80">
        <v>87.72</v>
      </c>
    </row>
    <row r="198" spans="1:16" x14ac:dyDescent="0.25">
      <c r="A198" s="72" t="s">
        <v>112</v>
      </c>
      <c r="B198" s="72" t="s">
        <v>813</v>
      </c>
      <c r="C198" s="74">
        <v>2017</v>
      </c>
      <c r="D198" s="81">
        <v>132.79</v>
      </c>
      <c r="E198" s="72" t="s">
        <v>1958</v>
      </c>
      <c r="F198" s="76" t="s">
        <v>1959</v>
      </c>
      <c r="G198" s="72" t="s">
        <v>47</v>
      </c>
      <c r="H198" s="72" t="s">
        <v>1905</v>
      </c>
      <c r="I198" s="72" t="s">
        <v>1893</v>
      </c>
      <c r="J198" s="77" t="s">
        <v>1893</v>
      </c>
      <c r="K198" s="77"/>
      <c r="L198" s="77"/>
      <c r="M198" s="78" t="s">
        <v>1824</v>
      </c>
      <c r="N198" s="78" t="s">
        <v>1825</v>
      </c>
      <c r="O198" s="78"/>
      <c r="P198" s="80">
        <v>132.79</v>
      </c>
    </row>
    <row r="199" spans="1:16" x14ac:dyDescent="0.25">
      <c r="A199" s="72" t="s">
        <v>123</v>
      </c>
      <c r="B199" s="72" t="s">
        <v>1162</v>
      </c>
      <c r="C199" s="74">
        <v>2017</v>
      </c>
      <c r="D199" s="81">
        <v>116.15</v>
      </c>
      <c r="E199" s="72" t="s">
        <v>1958</v>
      </c>
      <c r="F199" s="76" t="s">
        <v>1959</v>
      </c>
      <c r="G199" s="72" t="s">
        <v>47</v>
      </c>
      <c r="H199" s="72" t="s">
        <v>1905</v>
      </c>
      <c r="I199" s="72" t="s">
        <v>1893</v>
      </c>
      <c r="J199" s="77" t="s">
        <v>1893</v>
      </c>
      <c r="K199" s="77"/>
      <c r="L199" s="77"/>
      <c r="M199" s="78" t="s">
        <v>1824</v>
      </c>
      <c r="N199" s="78" t="s">
        <v>1825</v>
      </c>
      <c r="O199" s="78"/>
      <c r="P199" s="80">
        <v>116.15</v>
      </c>
    </row>
    <row r="200" spans="1:16" x14ac:dyDescent="0.25">
      <c r="A200" s="72" t="s">
        <v>278</v>
      </c>
      <c r="B200" s="72" t="s">
        <v>1163</v>
      </c>
      <c r="C200" s="74">
        <v>2017</v>
      </c>
      <c r="D200" s="81">
        <v>157.18</v>
      </c>
      <c r="E200" s="72" t="s">
        <v>1958</v>
      </c>
      <c r="F200" s="76" t="s">
        <v>1959</v>
      </c>
      <c r="G200" s="72" t="s">
        <v>47</v>
      </c>
      <c r="H200" s="72" t="s">
        <v>1905</v>
      </c>
      <c r="I200" s="72" t="s">
        <v>1893</v>
      </c>
      <c r="J200" s="77" t="s">
        <v>1893</v>
      </c>
      <c r="K200" s="77"/>
      <c r="L200" s="77"/>
      <c r="M200" s="78" t="s">
        <v>1824</v>
      </c>
      <c r="N200" s="78" t="s">
        <v>1825</v>
      </c>
      <c r="O200" s="78"/>
      <c r="P200" s="80">
        <v>157.18</v>
      </c>
    </row>
    <row r="201" spans="1:16" x14ac:dyDescent="0.25">
      <c r="A201" s="72" t="s">
        <v>255</v>
      </c>
      <c r="B201" s="72" t="s">
        <v>834</v>
      </c>
      <c r="C201" s="74">
        <v>2017</v>
      </c>
      <c r="D201" s="81">
        <v>101.93</v>
      </c>
      <c r="E201" s="72" t="s">
        <v>1958</v>
      </c>
      <c r="F201" s="76" t="s">
        <v>1959</v>
      </c>
      <c r="G201" s="72" t="s">
        <v>47</v>
      </c>
      <c r="H201" s="72" t="s">
        <v>1905</v>
      </c>
      <c r="I201" s="72" t="s">
        <v>1893</v>
      </c>
      <c r="J201" s="77" t="s">
        <v>1893</v>
      </c>
      <c r="K201" s="77"/>
      <c r="L201" s="77"/>
      <c r="M201" s="78" t="s">
        <v>1824</v>
      </c>
      <c r="N201" s="78" t="s">
        <v>1825</v>
      </c>
      <c r="O201" s="78"/>
      <c r="P201" s="80">
        <v>101.93</v>
      </c>
    </row>
    <row r="202" spans="1:16" x14ac:dyDescent="0.25">
      <c r="A202" s="72" t="s">
        <v>137</v>
      </c>
      <c r="B202" s="72" t="s">
        <v>837</v>
      </c>
      <c r="C202" s="74">
        <v>2017</v>
      </c>
      <c r="D202" s="81">
        <v>147.02000000000001</v>
      </c>
      <c r="E202" s="72" t="s">
        <v>1958</v>
      </c>
      <c r="F202" s="76" t="s">
        <v>1959</v>
      </c>
      <c r="G202" s="72" t="s">
        <v>47</v>
      </c>
      <c r="H202" s="72" t="s">
        <v>1905</v>
      </c>
      <c r="I202" s="72" t="s">
        <v>1893</v>
      </c>
      <c r="J202" s="77" t="s">
        <v>1893</v>
      </c>
      <c r="K202" s="77"/>
      <c r="L202" s="77"/>
      <c r="M202" s="78" t="s">
        <v>1824</v>
      </c>
      <c r="N202" s="78" t="s">
        <v>1825</v>
      </c>
      <c r="O202" s="78"/>
      <c r="P202" s="80">
        <v>147.02000000000001</v>
      </c>
    </row>
    <row r="203" spans="1:16" x14ac:dyDescent="0.25">
      <c r="A203" s="72" t="s">
        <v>181</v>
      </c>
      <c r="B203" s="72" t="s">
        <v>840</v>
      </c>
      <c r="C203" s="74">
        <v>2017</v>
      </c>
      <c r="D203" s="81">
        <v>125.64</v>
      </c>
      <c r="E203" s="72" t="s">
        <v>1958</v>
      </c>
      <c r="F203" s="76" t="s">
        <v>1959</v>
      </c>
      <c r="G203" s="72" t="s">
        <v>47</v>
      </c>
      <c r="H203" s="72" t="s">
        <v>1905</v>
      </c>
      <c r="I203" s="72" t="s">
        <v>1893</v>
      </c>
      <c r="J203" s="77" t="s">
        <v>1893</v>
      </c>
      <c r="K203" s="77"/>
      <c r="L203" s="77"/>
      <c r="M203" s="78" t="s">
        <v>1824</v>
      </c>
      <c r="N203" s="78" t="s">
        <v>1825</v>
      </c>
      <c r="O203" s="78"/>
      <c r="P203" s="80">
        <v>125.64</v>
      </c>
    </row>
    <row r="204" spans="1:16" x14ac:dyDescent="0.25">
      <c r="A204" s="72" t="s">
        <v>301</v>
      </c>
      <c r="B204" s="72" t="s">
        <v>843</v>
      </c>
      <c r="C204" s="74">
        <v>2017</v>
      </c>
      <c r="D204" s="81">
        <v>170.71</v>
      </c>
      <c r="E204" s="72" t="s">
        <v>1958</v>
      </c>
      <c r="F204" s="76" t="s">
        <v>1959</v>
      </c>
      <c r="G204" s="72" t="s">
        <v>47</v>
      </c>
      <c r="H204" s="72" t="s">
        <v>1905</v>
      </c>
      <c r="I204" s="72" t="s">
        <v>1893</v>
      </c>
      <c r="J204" s="77" t="s">
        <v>1893</v>
      </c>
      <c r="K204" s="77"/>
      <c r="L204" s="77"/>
      <c r="M204" s="78" t="s">
        <v>1824</v>
      </c>
      <c r="N204" s="78" t="s">
        <v>1825</v>
      </c>
      <c r="O204" s="78"/>
      <c r="P204" s="80">
        <v>170.71</v>
      </c>
    </row>
    <row r="205" spans="1:16" x14ac:dyDescent="0.25">
      <c r="A205" s="72" t="s">
        <v>343</v>
      </c>
      <c r="B205" s="72" t="s">
        <v>858</v>
      </c>
      <c r="C205" s="74">
        <v>2017</v>
      </c>
      <c r="D205" s="81">
        <v>117.95</v>
      </c>
      <c r="E205" s="72" t="s">
        <v>1958</v>
      </c>
      <c r="F205" s="76" t="s">
        <v>1959</v>
      </c>
      <c r="G205" s="72" t="s">
        <v>47</v>
      </c>
      <c r="H205" s="72" t="s">
        <v>1905</v>
      </c>
      <c r="I205" s="72" t="s">
        <v>1893</v>
      </c>
      <c r="J205" s="77" t="s">
        <v>1893</v>
      </c>
      <c r="K205" s="77"/>
      <c r="L205" s="77"/>
      <c r="M205" s="78" t="s">
        <v>1824</v>
      </c>
      <c r="N205" s="78" t="s">
        <v>1825</v>
      </c>
      <c r="O205" s="78"/>
      <c r="P205" s="80">
        <v>117.95</v>
      </c>
    </row>
    <row r="206" spans="1:16" x14ac:dyDescent="0.25">
      <c r="A206" s="72" t="s">
        <v>337</v>
      </c>
      <c r="B206" s="72" t="s">
        <v>861</v>
      </c>
      <c r="C206" s="74">
        <v>2017</v>
      </c>
      <c r="D206" s="81">
        <v>158.99</v>
      </c>
      <c r="E206" s="72" t="s">
        <v>1958</v>
      </c>
      <c r="F206" s="76" t="s">
        <v>1959</v>
      </c>
      <c r="G206" s="72" t="s">
        <v>47</v>
      </c>
      <c r="H206" s="72" t="s">
        <v>1905</v>
      </c>
      <c r="I206" s="72" t="s">
        <v>1893</v>
      </c>
      <c r="J206" s="77" t="s">
        <v>1893</v>
      </c>
      <c r="K206" s="77"/>
      <c r="L206" s="77"/>
      <c r="M206" s="78" t="s">
        <v>1824</v>
      </c>
      <c r="N206" s="78" t="s">
        <v>1825</v>
      </c>
      <c r="O206" s="78"/>
      <c r="P206" s="80">
        <v>158.99</v>
      </c>
    </row>
    <row r="207" spans="1:16" x14ac:dyDescent="0.25">
      <c r="A207" s="72" t="s">
        <v>233</v>
      </c>
      <c r="B207" s="72" t="s">
        <v>864</v>
      </c>
      <c r="C207" s="74">
        <v>2017</v>
      </c>
      <c r="D207" s="81">
        <v>142.16999999999999</v>
      </c>
      <c r="E207" s="72" t="s">
        <v>1958</v>
      </c>
      <c r="F207" s="76" t="s">
        <v>1959</v>
      </c>
      <c r="G207" s="72" t="s">
        <v>47</v>
      </c>
      <c r="H207" s="72" t="s">
        <v>1905</v>
      </c>
      <c r="I207" s="72" t="s">
        <v>1893</v>
      </c>
      <c r="J207" s="77" t="s">
        <v>1893</v>
      </c>
      <c r="K207" s="77"/>
      <c r="L207" s="77"/>
      <c r="M207" s="78" t="s">
        <v>1824</v>
      </c>
      <c r="N207" s="78" t="s">
        <v>1825</v>
      </c>
      <c r="O207" s="78"/>
      <c r="P207" s="80">
        <v>142.16999999999999</v>
      </c>
    </row>
    <row r="208" spans="1:16" x14ac:dyDescent="0.25">
      <c r="A208" s="72" t="s">
        <v>273</v>
      </c>
      <c r="B208" s="72" t="s">
        <v>867</v>
      </c>
      <c r="C208" s="74">
        <v>2017</v>
      </c>
      <c r="D208" s="81">
        <v>183.21</v>
      </c>
      <c r="E208" s="72" t="s">
        <v>1958</v>
      </c>
      <c r="F208" s="76" t="s">
        <v>1959</v>
      </c>
      <c r="G208" s="72" t="s">
        <v>47</v>
      </c>
      <c r="H208" s="72" t="s">
        <v>1905</v>
      </c>
      <c r="I208" s="72" t="s">
        <v>1893</v>
      </c>
      <c r="J208" s="77" t="s">
        <v>1893</v>
      </c>
      <c r="K208" s="77"/>
      <c r="L208" s="77"/>
      <c r="M208" s="78" t="s">
        <v>1824</v>
      </c>
      <c r="N208" s="78" t="s">
        <v>1825</v>
      </c>
      <c r="O208" s="78"/>
      <c r="P208" s="80">
        <v>183.21</v>
      </c>
    </row>
    <row r="209" spans="1:16" x14ac:dyDescent="0.25">
      <c r="A209" s="72" t="s">
        <v>143</v>
      </c>
      <c r="B209" s="72" t="s">
        <v>883</v>
      </c>
      <c r="C209" s="74">
        <v>2017</v>
      </c>
      <c r="D209" s="81">
        <v>139.56</v>
      </c>
      <c r="E209" s="72" t="s">
        <v>1958</v>
      </c>
      <c r="F209" s="76" t="s">
        <v>1959</v>
      </c>
      <c r="G209" s="72" t="s">
        <v>47</v>
      </c>
      <c r="H209" s="72" t="s">
        <v>1905</v>
      </c>
      <c r="I209" s="72" t="s">
        <v>1893</v>
      </c>
      <c r="J209" s="77" t="s">
        <v>1893</v>
      </c>
      <c r="K209" s="77"/>
      <c r="L209" s="77"/>
      <c r="M209" s="78" t="s">
        <v>1824</v>
      </c>
      <c r="N209" s="78" t="s">
        <v>1825</v>
      </c>
      <c r="O209" s="78"/>
      <c r="P209" s="80">
        <v>139.56</v>
      </c>
    </row>
    <row r="210" spans="1:16" x14ac:dyDescent="0.25">
      <c r="A210" s="72" t="s">
        <v>156</v>
      </c>
      <c r="B210" s="72" t="s">
        <v>886</v>
      </c>
      <c r="C210" s="74">
        <v>2017</v>
      </c>
      <c r="D210" s="81">
        <v>184.64</v>
      </c>
      <c r="E210" s="72" t="s">
        <v>1958</v>
      </c>
      <c r="F210" s="76" t="s">
        <v>1959</v>
      </c>
      <c r="G210" s="72" t="s">
        <v>47</v>
      </c>
      <c r="H210" s="72" t="s">
        <v>1905</v>
      </c>
      <c r="I210" s="72" t="s">
        <v>1893</v>
      </c>
      <c r="J210" s="77" t="s">
        <v>1893</v>
      </c>
      <c r="K210" s="77"/>
      <c r="L210" s="77"/>
      <c r="M210" s="78" t="s">
        <v>1824</v>
      </c>
      <c r="N210" s="78" t="s">
        <v>1825</v>
      </c>
      <c r="O210" s="78"/>
      <c r="P210" s="80">
        <v>184.64</v>
      </c>
    </row>
    <row r="211" spans="1:16" x14ac:dyDescent="0.25">
      <c r="A211" s="72" t="s">
        <v>155</v>
      </c>
      <c r="B211" s="72" t="s">
        <v>889</v>
      </c>
      <c r="C211" s="74">
        <v>2017</v>
      </c>
      <c r="D211" s="81">
        <v>168.47</v>
      </c>
      <c r="E211" s="72" t="s">
        <v>1958</v>
      </c>
      <c r="F211" s="76" t="s">
        <v>1959</v>
      </c>
      <c r="G211" s="72" t="s">
        <v>47</v>
      </c>
      <c r="H211" s="72" t="s">
        <v>1905</v>
      </c>
      <c r="I211" s="72" t="s">
        <v>1893</v>
      </c>
      <c r="J211" s="77" t="s">
        <v>1893</v>
      </c>
      <c r="K211" s="77"/>
      <c r="L211" s="77"/>
      <c r="M211" s="78" t="s">
        <v>1824</v>
      </c>
      <c r="N211" s="78" t="s">
        <v>1825</v>
      </c>
      <c r="O211" s="78"/>
      <c r="P211" s="80">
        <v>168.47</v>
      </c>
    </row>
    <row r="212" spans="1:16" x14ac:dyDescent="0.25">
      <c r="A212" s="72" t="s">
        <v>165</v>
      </c>
      <c r="B212" s="72" t="s">
        <v>892</v>
      </c>
      <c r="C212" s="74">
        <v>2017</v>
      </c>
      <c r="D212" s="81">
        <v>213.55</v>
      </c>
      <c r="E212" s="72" t="s">
        <v>1958</v>
      </c>
      <c r="F212" s="76" t="s">
        <v>1959</v>
      </c>
      <c r="G212" s="72" t="s">
        <v>47</v>
      </c>
      <c r="H212" s="72" t="s">
        <v>1905</v>
      </c>
      <c r="I212" s="72" t="s">
        <v>1893</v>
      </c>
      <c r="J212" s="77" t="s">
        <v>1893</v>
      </c>
      <c r="K212" s="77"/>
      <c r="L212" s="77"/>
      <c r="M212" s="78" t="s">
        <v>1824</v>
      </c>
      <c r="N212" s="78" t="s">
        <v>1825</v>
      </c>
      <c r="O212" s="78"/>
      <c r="P212" s="80">
        <v>213.55</v>
      </c>
    </row>
    <row r="213" spans="1:16" x14ac:dyDescent="0.25">
      <c r="A213" s="72" t="s">
        <v>228</v>
      </c>
      <c r="B213" s="72" t="s">
        <v>908</v>
      </c>
      <c r="C213" s="74">
        <v>2017</v>
      </c>
      <c r="D213" s="81">
        <v>153.21</v>
      </c>
      <c r="E213" s="72" t="s">
        <v>1958</v>
      </c>
      <c r="F213" s="76" t="s">
        <v>1959</v>
      </c>
      <c r="G213" s="72" t="s">
        <v>47</v>
      </c>
      <c r="H213" s="72" t="s">
        <v>1905</v>
      </c>
      <c r="I213" s="72" t="s">
        <v>1893</v>
      </c>
      <c r="J213" s="77" t="s">
        <v>1893</v>
      </c>
      <c r="K213" s="77"/>
      <c r="L213" s="77"/>
      <c r="M213" s="78" t="s">
        <v>1824</v>
      </c>
      <c r="N213" s="78" t="s">
        <v>1825</v>
      </c>
      <c r="O213" s="78"/>
      <c r="P213" s="80">
        <v>153.21</v>
      </c>
    </row>
    <row r="214" spans="1:16" x14ac:dyDescent="0.25">
      <c r="A214" s="72" t="s">
        <v>364</v>
      </c>
      <c r="B214" s="72" t="s">
        <v>911</v>
      </c>
      <c r="C214" s="74">
        <v>2017</v>
      </c>
      <c r="D214" s="81">
        <v>194.25</v>
      </c>
      <c r="E214" s="72" t="s">
        <v>1958</v>
      </c>
      <c r="F214" s="76" t="s">
        <v>1959</v>
      </c>
      <c r="G214" s="72" t="s">
        <v>47</v>
      </c>
      <c r="H214" s="72" t="s">
        <v>1905</v>
      </c>
      <c r="I214" s="72" t="s">
        <v>1893</v>
      </c>
      <c r="J214" s="77" t="s">
        <v>1893</v>
      </c>
      <c r="K214" s="77"/>
      <c r="L214" s="77"/>
      <c r="M214" s="78" t="s">
        <v>1824</v>
      </c>
      <c r="N214" s="78" t="s">
        <v>1825</v>
      </c>
      <c r="O214" s="78"/>
      <c r="P214" s="80">
        <v>194.25</v>
      </c>
    </row>
    <row r="215" spans="1:16" x14ac:dyDescent="0.25">
      <c r="A215" s="72" t="s">
        <v>380</v>
      </c>
      <c r="B215" s="72" t="s">
        <v>914</v>
      </c>
      <c r="C215" s="74">
        <v>2017</v>
      </c>
      <c r="D215" s="81">
        <v>187.16</v>
      </c>
      <c r="E215" s="72" t="s">
        <v>1958</v>
      </c>
      <c r="F215" s="76" t="s">
        <v>1959</v>
      </c>
      <c r="G215" s="72" t="s">
        <v>47</v>
      </c>
      <c r="H215" s="72" t="s">
        <v>1905</v>
      </c>
      <c r="I215" s="72" t="s">
        <v>1893</v>
      </c>
      <c r="J215" s="77" t="s">
        <v>1893</v>
      </c>
      <c r="K215" s="77"/>
      <c r="L215" s="77"/>
      <c r="M215" s="78" t="s">
        <v>1824</v>
      </c>
      <c r="N215" s="78" t="s">
        <v>1825</v>
      </c>
      <c r="O215" s="78"/>
      <c r="P215" s="80">
        <v>187.16</v>
      </c>
    </row>
    <row r="216" spans="1:16" x14ac:dyDescent="0.25">
      <c r="A216" s="72" t="s">
        <v>289</v>
      </c>
      <c r="B216" s="72" t="s">
        <v>917</v>
      </c>
      <c r="C216" s="74">
        <v>2017</v>
      </c>
      <c r="D216" s="81">
        <v>228.22</v>
      </c>
      <c r="E216" s="72" t="s">
        <v>1958</v>
      </c>
      <c r="F216" s="76" t="s">
        <v>1959</v>
      </c>
      <c r="G216" s="72" t="s">
        <v>47</v>
      </c>
      <c r="H216" s="72" t="s">
        <v>1905</v>
      </c>
      <c r="I216" s="72" t="s">
        <v>1893</v>
      </c>
      <c r="J216" s="77" t="s">
        <v>1893</v>
      </c>
      <c r="K216" s="77"/>
      <c r="L216" s="77"/>
      <c r="M216" s="78" t="s">
        <v>1824</v>
      </c>
      <c r="N216" s="78" t="s">
        <v>1825</v>
      </c>
      <c r="O216" s="78"/>
      <c r="P216" s="80">
        <v>228.22</v>
      </c>
    </row>
    <row r="217" spans="1:16" x14ac:dyDescent="0.25">
      <c r="A217" s="72" t="s">
        <v>162</v>
      </c>
      <c r="B217" s="72" t="s">
        <v>933</v>
      </c>
      <c r="C217" s="74">
        <v>2017</v>
      </c>
      <c r="D217" s="81">
        <v>171.09</v>
      </c>
      <c r="E217" s="72" t="s">
        <v>1958</v>
      </c>
      <c r="F217" s="76" t="s">
        <v>1959</v>
      </c>
      <c r="G217" s="72" t="s">
        <v>47</v>
      </c>
      <c r="H217" s="72" t="s">
        <v>1905</v>
      </c>
      <c r="I217" s="72" t="s">
        <v>1893</v>
      </c>
      <c r="J217" s="77" t="s">
        <v>1893</v>
      </c>
      <c r="K217" s="77"/>
      <c r="L217" s="77"/>
      <c r="M217" s="78" t="s">
        <v>1824</v>
      </c>
      <c r="N217" s="78" t="s">
        <v>1825</v>
      </c>
      <c r="O217" s="78"/>
      <c r="P217" s="80">
        <v>171.09</v>
      </c>
    </row>
    <row r="218" spans="1:16" x14ac:dyDescent="0.25">
      <c r="A218" s="72" t="s">
        <v>68</v>
      </c>
      <c r="B218" s="72" t="s">
        <v>936</v>
      </c>
      <c r="C218" s="74">
        <v>2017</v>
      </c>
      <c r="D218" s="81">
        <v>205.53</v>
      </c>
      <c r="E218" s="72" t="s">
        <v>1958</v>
      </c>
      <c r="F218" s="76" t="s">
        <v>1959</v>
      </c>
      <c r="G218" s="72" t="s">
        <v>47</v>
      </c>
      <c r="H218" s="72" t="s">
        <v>1905</v>
      </c>
      <c r="I218" s="72" t="s">
        <v>1893</v>
      </c>
      <c r="J218" s="77" t="s">
        <v>1893</v>
      </c>
      <c r="K218" s="77"/>
      <c r="L218" s="77"/>
      <c r="M218" s="78" t="s">
        <v>1824</v>
      </c>
      <c r="N218" s="78" t="s">
        <v>1825</v>
      </c>
      <c r="O218" s="78"/>
      <c r="P218" s="80">
        <v>205.53</v>
      </c>
    </row>
    <row r="219" spans="1:16" x14ac:dyDescent="0.25">
      <c r="A219" s="72" t="s">
        <v>178</v>
      </c>
      <c r="B219" s="72" t="s">
        <v>939</v>
      </c>
      <c r="C219" s="74">
        <v>2017</v>
      </c>
      <c r="D219" s="81">
        <v>201.71</v>
      </c>
      <c r="E219" s="72" t="s">
        <v>1958</v>
      </c>
      <c r="F219" s="76" t="s">
        <v>1959</v>
      </c>
      <c r="G219" s="72" t="s">
        <v>47</v>
      </c>
      <c r="H219" s="72" t="s">
        <v>1905</v>
      </c>
      <c r="I219" s="72" t="s">
        <v>1893</v>
      </c>
      <c r="J219" s="77" t="s">
        <v>1893</v>
      </c>
      <c r="K219" s="77"/>
      <c r="L219" s="77"/>
      <c r="M219" s="78" t="s">
        <v>1824</v>
      </c>
      <c r="N219" s="78" t="s">
        <v>1825</v>
      </c>
      <c r="O219" s="78"/>
      <c r="P219" s="80">
        <v>201.71</v>
      </c>
    </row>
    <row r="220" spans="1:16" x14ac:dyDescent="0.25">
      <c r="A220" s="72" t="s">
        <v>134</v>
      </c>
      <c r="B220" s="72" t="s">
        <v>942</v>
      </c>
      <c r="C220" s="74">
        <v>2017</v>
      </c>
      <c r="D220" s="81">
        <v>236.14</v>
      </c>
      <c r="E220" s="72" t="s">
        <v>1958</v>
      </c>
      <c r="F220" s="76" t="s">
        <v>1959</v>
      </c>
      <c r="G220" s="72" t="s">
        <v>47</v>
      </c>
      <c r="H220" s="72" t="s">
        <v>1905</v>
      </c>
      <c r="I220" s="72" t="s">
        <v>1893</v>
      </c>
      <c r="J220" s="77" t="s">
        <v>1893</v>
      </c>
      <c r="K220" s="77"/>
      <c r="L220" s="77"/>
      <c r="M220" s="78" t="s">
        <v>1824</v>
      </c>
      <c r="N220" s="78" t="s">
        <v>1825</v>
      </c>
      <c r="O220" s="78"/>
      <c r="P220" s="80">
        <v>236.14</v>
      </c>
    </row>
    <row r="221" spans="1:16" x14ac:dyDescent="0.25">
      <c r="A221" s="72" t="s">
        <v>360</v>
      </c>
      <c r="B221" s="72" t="s">
        <v>957</v>
      </c>
      <c r="C221" s="74">
        <v>2017</v>
      </c>
      <c r="D221" s="81">
        <v>103.89</v>
      </c>
      <c r="E221" s="72" t="s">
        <v>1958</v>
      </c>
      <c r="F221" s="76" t="s">
        <v>1959</v>
      </c>
      <c r="G221" s="72" t="s">
        <v>47</v>
      </c>
      <c r="H221" s="72" t="s">
        <v>1905</v>
      </c>
      <c r="I221" s="72" t="s">
        <v>1893</v>
      </c>
      <c r="J221" s="77" t="s">
        <v>1893</v>
      </c>
      <c r="K221" s="77"/>
      <c r="L221" s="77"/>
      <c r="M221" s="78" t="s">
        <v>1824</v>
      </c>
      <c r="N221" s="78" t="s">
        <v>1825</v>
      </c>
      <c r="O221" s="78"/>
      <c r="P221" s="80">
        <v>103.89</v>
      </c>
    </row>
    <row r="222" spans="1:16" x14ac:dyDescent="0.25">
      <c r="A222" s="72" t="s">
        <v>65</v>
      </c>
      <c r="B222" s="72" t="s">
        <v>960</v>
      </c>
      <c r="C222" s="74">
        <v>2017</v>
      </c>
      <c r="D222" s="81">
        <v>154.74</v>
      </c>
      <c r="E222" s="72" t="s">
        <v>1958</v>
      </c>
      <c r="F222" s="76" t="s">
        <v>1959</v>
      </c>
      <c r="G222" s="72" t="s">
        <v>47</v>
      </c>
      <c r="H222" s="72" t="s">
        <v>1905</v>
      </c>
      <c r="I222" s="72" t="s">
        <v>1893</v>
      </c>
      <c r="J222" s="77" t="s">
        <v>1893</v>
      </c>
      <c r="K222" s="77"/>
      <c r="L222" s="77"/>
      <c r="M222" s="78" t="s">
        <v>1824</v>
      </c>
      <c r="N222" s="78" t="s">
        <v>1825</v>
      </c>
      <c r="O222" s="78"/>
      <c r="P222" s="80">
        <v>154.74</v>
      </c>
    </row>
    <row r="223" spans="1:16" x14ac:dyDescent="0.25">
      <c r="A223" s="72" t="s">
        <v>307</v>
      </c>
      <c r="B223" s="72" t="s">
        <v>963</v>
      </c>
      <c r="C223" s="74">
        <v>2017</v>
      </c>
      <c r="D223" s="81">
        <v>114.79</v>
      </c>
      <c r="E223" s="72" t="s">
        <v>1958</v>
      </c>
      <c r="F223" s="76" t="s">
        <v>1959</v>
      </c>
      <c r="G223" s="72" t="s">
        <v>47</v>
      </c>
      <c r="H223" s="72" t="s">
        <v>1905</v>
      </c>
      <c r="I223" s="72" t="s">
        <v>1893</v>
      </c>
      <c r="J223" s="77" t="s">
        <v>1893</v>
      </c>
      <c r="K223" s="77"/>
      <c r="L223" s="77"/>
      <c r="M223" s="78" t="s">
        <v>1824</v>
      </c>
      <c r="N223" s="78" t="s">
        <v>1825</v>
      </c>
      <c r="O223" s="78"/>
      <c r="P223" s="80">
        <v>114.79</v>
      </c>
    </row>
    <row r="224" spans="1:16" x14ac:dyDescent="0.25">
      <c r="A224" s="72" t="s">
        <v>57</v>
      </c>
      <c r="B224" s="72" t="s">
        <v>966</v>
      </c>
      <c r="C224" s="74">
        <v>2017</v>
      </c>
      <c r="D224" s="81">
        <v>165.65</v>
      </c>
      <c r="E224" s="72" t="s">
        <v>1958</v>
      </c>
      <c r="F224" s="76" t="s">
        <v>1959</v>
      </c>
      <c r="G224" s="72" t="s">
        <v>47</v>
      </c>
      <c r="H224" s="72" t="s">
        <v>1905</v>
      </c>
      <c r="I224" s="72" t="s">
        <v>1893</v>
      </c>
      <c r="J224" s="77" t="s">
        <v>1893</v>
      </c>
      <c r="K224" s="77"/>
      <c r="L224" s="77"/>
      <c r="M224" s="78" t="s">
        <v>1824</v>
      </c>
      <c r="N224" s="78" t="s">
        <v>1825</v>
      </c>
      <c r="O224" s="78"/>
      <c r="P224" s="80">
        <v>165.65</v>
      </c>
    </row>
    <row r="225" spans="1:16" x14ac:dyDescent="0.25">
      <c r="A225" s="72" t="s">
        <v>173</v>
      </c>
      <c r="B225" s="72" t="s">
        <v>981</v>
      </c>
      <c r="C225" s="74">
        <v>2017</v>
      </c>
      <c r="D225" s="81">
        <v>203.14</v>
      </c>
      <c r="E225" s="72" t="s">
        <v>1958</v>
      </c>
      <c r="F225" s="76" t="s">
        <v>1959</v>
      </c>
      <c r="G225" s="72" t="s">
        <v>47</v>
      </c>
      <c r="H225" s="72" t="s">
        <v>1905</v>
      </c>
      <c r="I225" s="72" t="s">
        <v>1893</v>
      </c>
      <c r="J225" s="77" t="s">
        <v>1893</v>
      </c>
      <c r="K225" s="77"/>
      <c r="L225" s="77"/>
      <c r="M225" s="78" t="s">
        <v>1824</v>
      </c>
      <c r="N225" s="78" t="s">
        <v>1825</v>
      </c>
      <c r="O225" s="78"/>
      <c r="P225" s="80">
        <v>203.14</v>
      </c>
    </row>
    <row r="226" spans="1:16" x14ac:dyDescent="0.25">
      <c r="A226" s="72" t="s">
        <v>88</v>
      </c>
      <c r="B226" s="72" t="s">
        <v>984</v>
      </c>
      <c r="C226" s="74">
        <v>2017</v>
      </c>
      <c r="D226" s="81">
        <v>268.33</v>
      </c>
      <c r="E226" s="72" t="s">
        <v>1958</v>
      </c>
      <c r="F226" s="76" t="s">
        <v>1959</v>
      </c>
      <c r="G226" s="72" t="s">
        <v>47</v>
      </c>
      <c r="H226" s="72" t="s">
        <v>1905</v>
      </c>
      <c r="I226" s="72" t="s">
        <v>1893</v>
      </c>
      <c r="J226" s="77" t="s">
        <v>1893</v>
      </c>
      <c r="K226" s="77"/>
      <c r="L226" s="77"/>
      <c r="M226" s="78" t="s">
        <v>1824</v>
      </c>
      <c r="N226" s="78" t="s">
        <v>1825</v>
      </c>
      <c r="O226" s="78"/>
      <c r="P226" s="80">
        <v>268.33</v>
      </c>
    </row>
    <row r="227" spans="1:16" x14ac:dyDescent="0.25">
      <c r="A227" s="72" t="s">
        <v>227</v>
      </c>
      <c r="B227" s="72" t="s">
        <v>987</v>
      </c>
      <c r="C227" s="74">
        <v>2017</v>
      </c>
      <c r="D227" s="81">
        <v>224.96</v>
      </c>
      <c r="E227" s="72" t="s">
        <v>1958</v>
      </c>
      <c r="F227" s="76" t="s">
        <v>1959</v>
      </c>
      <c r="G227" s="72" t="s">
        <v>47</v>
      </c>
      <c r="H227" s="72" t="s">
        <v>1905</v>
      </c>
      <c r="I227" s="72" t="s">
        <v>1893</v>
      </c>
      <c r="J227" s="77" t="s">
        <v>1893</v>
      </c>
      <c r="K227" s="77"/>
      <c r="L227" s="77"/>
      <c r="M227" s="78" t="s">
        <v>1824</v>
      </c>
      <c r="N227" s="78" t="s">
        <v>1825</v>
      </c>
      <c r="O227" s="78"/>
      <c r="P227" s="80">
        <v>224.96</v>
      </c>
    </row>
    <row r="228" spans="1:16" x14ac:dyDescent="0.25">
      <c r="A228" s="72" t="s">
        <v>186</v>
      </c>
      <c r="B228" s="72" t="s">
        <v>990</v>
      </c>
      <c r="C228" s="74">
        <v>2017</v>
      </c>
      <c r="D228" s="81">
        <v>290.13</v>
      </c>
      <c r="E228" s="72" t="s">
        <v>1958</v>
      </c>
      <c r="F228" s="76" t="s">
        <v>1959</v>
      </c>
      <c r="G228" s="72" t="s">
        <v>47</v>
      </c>
      <c r="H228" s="72" t="s">
        <v>1905</v>
      </c>
      <c r="I228" s="72" t="s">
        <v>1893</v>
      </c>
      <c r="J228" s="77" t="s">
        <v>1893</v>
      </c>
      <c r="K228" s="77"/>
      <c r="L228" s="77"/>
      <c r="M228" s="78" t="s">
        <v>1824</v>
      </c>
      <c r="N228" s="78" t="s">
        <v>1825</v>
      </c>
      <c r="O228" s="78"/>
      <c r="P228" s="80">
        <v>290.13</v>
      </c>
    </row>
    <row r="229" spans="1:16" x14ac:dyDescent="0.25">
      <c r="A229" s="72" t="s">
        <v>195</v>
      </c>
      <c r="B229" s="72" t="s">
        <v>1005</v>
      </c>
      <c r="C229" s="74">
        <v>2017</v>
      </c>
      <c r="D229" s="81">
        <v>236.86</v>
      </c>
      <c r="E229" s="72" t="s">
        <v>1958</v>
      </c>
      <c r="F229" s="76" t="s">
        <v>1959</v>
      </c>
      <c r="G229" s="72" t="s">
        <v>47</v>
      </c>
      <c r="H229" s="72" t="s">
        <v>1905</v>
      </c>
      <c r="I229" s="72" t="s">
        <v>1893</v>
      </c>
      <c r="J229" s="77" t="s">
        <v>1893</v>
      </c>
      <c r="K229" s="77"/>
      <c r="L229" s="77"/>
      <c r="M229" s="78" t="s">
        <v>1824</v>
      </c>
      <c r="N229" s="78" t="s">
        <v>1825</v>
      </c>
      <c r="O229" s="78"/>
      <c r="P229" s="80">
        <v>236.86</v>
      </c>
    </row>
    <row r="230" spans="1:16" x14ac:dyDescent="0.25">
      <c r="A230" s="72" t="s">
        <v>325</v>
      </c>
      <c r="B230" s="72" t="s">
        <v>1008</v>
      </c>
      <c r="C230" s="74">
        <v>2017</v>
      </c>
      <c r="D230" s="81">
        <v>311.61</v>
      </c>
      <c r="E230" s="72" t="s">
        <v>1958</v>
      </c>
      <c r="F230" s="76" t="s">
        <v>1959</v>
      </c>
      <c r="G230" s="72" t="s">
        <v>47</v>
      </c>
      <c r="H230" s="72" t="s">
        <v>1905</v>
      </c>
      <c r="I230" s="72" t="s">
        <v>1893</v>
      </c>
      <c r="J230" s="77" t="s">
        <v>1893</v>
      </c>
      <c r="K230" s="77"/>
      <c r="L230" s="77"/>
      <c r="M230" s="78" t="s">
        <v>1824</v>
      </c>
      <c r="N230" s="78" t="s">
        <v>1825</v>
      </c>
      <c r="O230" s="78"/>
      <c r="P230" s="80">
        <v>311.61</v>
      </c>
    </row>
    <row r="231" spans="1:16" x14ac:dyDescent="0.25">
      <c r="A231" s="72" t="s">
        <v>103</v>
      </c>
      <c r="B231" s="72" t="s">
        <v>1011</v>
      </c>
      <c r="C231" s="74">
        <v>2017</v>
      </c>
      <c r="D231" s="81">
        <v>258.66000000000003</v>
      </c>
      <c r="E231" s="72" t="s">
        <v>1958</v>
      </c>
      <c r="F231" s="76" t="s">
        <v>1959</v>
      </c>
      <c r="G231" s="72" t="s">
        <v>47</v>
      </c>
      <c r="H231" s="72" t="s">
        <v>1905</v>
      </c>
      <c r="I231" s="72" t="s">
        <v>1893</v>
      </c>
      <c r="J231" s="77" t="s">
        <v>1893</v>
      </c>
      <c r="K231" s="77"/>
      <c r="L231" s="77"/>
      <c r="M231" s="78" t="s">
        <v>1824</v>
      </c>
      <c r="N231" s="78" t="s">
        <v>1825</v>
      </c>
      <c r="O231" s="78"/>
      <c r="P231" s="80">
        <v>258.66000000000003</v>
      </c>
    </row>
    <row r="232" spans="1:16" x14ac:dyDescent="0.25">
      <c r="A232" s="72" t="s">
        <v>124</v>
      </c>
      <c r="B232" s="72" t="s">
        <v>1014</v>
      </c>
      <c r="C232" s="74">
        <v>2017</v>
      </c>
      <c r="D232" s="81">
        <v>333.43</v>
      </c>
      <c r="E232" s="72" t="s">
        <v>1958</v>
      </c>
      <c r="F232" s="76" t="s">
        <v>1959</v>
      </c>
      <c r="G232" s="72" t="s">
        <v>47</v>
      </c>
      <c r="H232" s="72" t="s">
        <v>1905</v>
      </c>
      <c r="I232" s="72" t="s">
        <v>1893</v>
      </c>
      <c r="J232" s="77" t="s">
        <v>1893</v>
      </c>
      <c r="K232" s="77"/>
      <c r="L232" s="77"/>
      <c r="M232" s="78" t="s">
        <v>1824</v>
      </c>
      <c r="N232" s="78" t="s">
        <v>1825</v>
      </c>
      <c r="O232" s="78"/>
      <c r="P232" s="80">
        <v>333.43</v>
      </c>
    </row>
    <row r="233" spans="1:16" x14ac:dyDescent="0.25">
      <c r="A233" s="72" t="s">
        <v>190</v>
      </c>
      <c r="B233" s="72" t="s">
        <v>1029</v>
      </c>
      <c r="C233" s="74">
        <v>2017</v>
      </c>
      <c r="D233" s="81">
        <v>152.08000000000001</v>
      </c>
      <c r="E233" s="72" t="s">
        <v>1958</v>
      </c>
      <c r="F233" s="76" t="s">
        <v>1959</v>
      </c>
      <c r="G233" s="72" t="s">
        <v>47</v>
      </c>
      <c r="H233" s="72" t="s">
        <v>1905</v>
      </c>
      <c r="I233" s="72" t="s">
        <v>1893</v>
      </c>
      <c r="J233" s="77" t="s">
        <v>1893</v>
      </c>
      <c r="K233" s="77"/>
      <c r="L233" s="77"/>
      <c r="M233" s="78" t="s">
        <v>1824</v>
      </c>
      <c r="N233" s="78" t="s">
        <v>1825</v>
      </c>
      <c r="O233" s="78"/>
      <c r="P233" s="80">
        <v>152.08000000000001</v>
      </c>
    </row>
    <row r="234" spans="1:16" x14ac:dyDescent="0.25">
      <c r="A234" s="72" t="s">
        <v>264</v>
      </c>
      <c r="B234" s="72" t="s">
        <v>1032</v>
      </c>
      <c r="C234" s="74">
        <v>2017</v>
      </c>
      <c r="D234" s="81">
        <v>202.92</v>
      </c>
      <c r="E234" s="72" t="s">
        <v>1958</v>
      </c>
      <c r="F234" s="76" t="s">
        <v>1959</v>
      </c>
      <c r="G234" s="72" t="s">
        <v>47</v>
      </c>
      <c r="H234" s="72" t="s">
        <v>1905</v>
      </c>
      <c r="I234" s="72" t="s">
        <v>1893</v>
      </c>
      <c r="J234" s="77" t="s">
        <v>1893</v>
      </c>
      <c r="K234" s="77"/>
      <c r="L234" s="77"/>
      <c r="M234" s="78" t="s">
        <v>1824</v>
      </c>
      <c r="N234" s="78" t="s">
        <v>1825</v>
      </c>
      <c r="O234" s="78"/>
      <c r="P234" s="80">
        <v>202.92</v>
      </c>
    </row>
    <row r="235" spans="1:16" x14ac:dyDescent="0.25">
      <c r="A235" s="72" t="s">
        <v>376</v>
      </c>
      <c r="B235" s="72" t="s">
        <v>1035</v>
      </c>
      <c r="C235" s="74">
        <v>2017</v>
      </c>
      <c r="D235" s="81">
        <v>173.88</v>
      </c>
      <c r="E235" s="72" t="s">
        <v>1958</v>
      </c>
      <c r="F235" s="76" t="s">
        <v>1959</v>
      </c>
      <c r="G235" s="72" t="s">
        <v>47</v>
      </c>
      <c r="H235" s="72" t="s">
        <v>1905</v>
      </c>
      <c r="I235" s="72" t="s">
        <v>1893</v>
      </c>
      <c r="J235" s="77" t="s">
        <v>1893</v>
      </c>
      <c r="K235" s="77"/>
      <c r="L235" s="77"/>
      <c r="M235" s="78" t="s">
        <v>1824</v>
      </c>
      <c r="N235" s="78" t="s">
        <v>1825</v>
      </c>
      <c r="O235" s="78"/>
      <c r="P235" s="80">
        <v>173.88</v>
      </c>
    </row>
    <row r="236" spans="1:16" x14ac:dyDescent="0.25">
      <c r="A236" s="72" t="s">
        <v>336</v>
      </c>
      <c r="B236" s="72" t="s">
        <v>1038</v>
      </c>
      <c r="C236" s="74">
        <v>2017</v>
      </c>
      <c r="D236" s="81">
        <v>224.72</v>
      </c>
      <c r="E236" s="72" t="s">
        <v>1958</v>
      </c>
      <c r="F236" s="76" t="s">
        <v>1959</v>
      </c>
      <c r="G236" s="72" t="s">
        <v>47</v>
      </c>
      <c r="H236" s="72" t="s">
        <v>1905</v>
      </c>
      <c r="I236" s="72" t="s">
        <v>1893</v>
      </c>
      <c r="J236" s="77" t="s">
        <v>1893</v>
      </c>
      <c r="K236" s="77"/>
      <c r="L236" s="77"/>
      <c r="M236" s="78" t="s">
        <v>1824</v>
      </c>
      <c r="N236" s="78" t="s">
        <v>1825</v>
      </c>
      <c r="O236" s="78"/>
      <c r="P236" s="80">
        <v>224.72</v>
      </c>
    </row>
    <row r="237" spans="1:16" x14ac:dyDescent="0.25">
      <c r="A237" s="72" t="s">
        <v>113</v>
      </c>
      <c r="B237" s="72" t="s">
        <v>1053</v>
      </c>
      <c r="C237" s="74">
        <v>2017</v>
      </c>
      <c r="D237" s="81">
        <v>69.739999999999995</v>
      </c>
      <c r="E237" s="72" t="s">
        <v>1958</v>
      </c>
      <c r="F237" s="76" t="s">
        <v>1959</v>
      </c>
      <c r="G237" s="72" t="s">
        <v>47</v>
      </c>
      <c r="H237" s="72" t="s">
        <v>1905</v>
      </c>
      <c r="I237" s="72" t="s">
        <v>1893</v>
      </c>
      <c r="J237" s="77" t="s">
        <v>1893</v>
      </c>
      <c r="K237" s="77"/>
      <c r="L237" s="77"/>
      <c r="M237" s="78" t="s">
        <v>1824</v>
      </c>
      <c r="N237" s="78" t="s">
        <v>1825</v>
      </c>
      <c r="O237" s="78"/>
      <c r="P237" s="80">
        <v>69.739999999999995</v>
      </c>
    </row>
    <row r="238" spans="1:16" x14ac:dyDescent="0.25">
      <c r="A238" s="72" t="s">
        <v>344</v>
      </c>
      <c r="B238" s="72" t="s">
        <v>1056</v>
      </c>
      <c r="C238" s="74">
        <v>2017</v>
      </c>
      <c r="D238" s="81">
        <v>112.11</v>
      </c>
      <c r="E238" s="72" t="s">
        <v>1958</v>
      </c>
      <c r="F238" s="76" t="s">
        <v>1959</v>
      </c>
      <c r="G238" s="72" t="s">
        <v>47</v>
      </c>
      <c r="H238" s="72" t="s">
        <v>1905</v>
      </c>
      <c r="I238" s="72" t="s">
        <v>1893</v>
      </c>
      <c r="J238" s="77" t="s">
        <v>1893</v>
      </c>
      <c r="K238" s="77"/>
      <c r="L238" s="77"/>
      <c r="M238" s="78" t="s">
        <v>1824</v>
      </c>
      <c r="N238" s="78" t="s">
        <v>1825</v>
      </c>
      <c r="O238" s="78"/>
      <c r="P238" s="80">
        <v>112.11</v>
      </c>
    </row>
    <row r="239" spans="1:16" x14ac:dyDescent="0.25">
      <c r="A239" s="72" t="s">
        <v>200</v>
      </c>
      <c r="B239" s="72" t="s">
        <v>1065</v>
      </c>
      <c r="C239" s="74">
        <v>2017</v>
      </c>
      <c r="D239" s="81">
        <v>103.41</v>
      </c>
      <c r="E239" s="72" t="s">
        <v>1958</v>
      </c>
      <c r="F239" s="76" t="s">
        <v>1959</v>
      </c>
      <c r="G239" s="72" t="s">
        <v>47</v>
      </c>
      <c r="H239" s="72" t="s">
        <v>1905</v>
      </c>
      <c r="I239" s="72" t="s">
        <v>1893</v>
      </c>
      <c r="J239" s="77" t="s">
        <v>1893</v>
      </c>
      <c r="K239" s="77"/>
      <c r="L239" s="77"/>
      <c r="M239" s="78" t="s">
        <v>1824</v>
      </c>
      <c r="N239" s="78" t="s">
        <v>1825</v>
      </c>
      <c r="O239" s="78"/>
      <c r="P239" s="80">
        <v>103.41</v>
      </c>
    </row>
    <row r="240" spans="1:16" x14ac:dyDescent="0.25">
      <c r="A240" s="72" t="s">
        <v>248</v>
      </c>
      <c r="B240" s="72" t="s">
        <v>1068</v>
      </c>
      <c r="C240" s="74">
        <v>2017</v>
      </c>
      <c r="D240" s="81">
        <v>138.72</v>
      </c>
      <c r="E240" s="72" t="s">
        <v>1958</v>
      </c>
      <c r="F240" s="76" t="s">
        <v>1959</v>
      </c>
      <c r="G240" s="72" t="s">
        <v>47</v>
      </c>
      <c r="H240" s="72" t="s">
        <v>1905</v>
      </c>
      <c r="I240" s="72" t="s">
        <v>1893</v>
      </c>
      <c r="J240" s="77" t="s">
        <v>1893</v>
      </c>
      <c r="K240" s="77"/>
      <c r="L240" s="77"/>
      <c r="M240" s="78" t="s">
        <v>1824</v>
      </c>
      <c r="N240" s="78" t="s">
        <v>1825</v>
      </c>
      <c r="O240" s="78"/>
      <c r="P240" s="80">
        <v>138.72</v>
      </c>
    </row>
    <row r="241" spans="1:16" x14ac:dyDescent="0.25">
      <c r="A241" s="72" t="s">
        <v>224</v>
      </c>
      <c r="B241" s="72" t="s">
        <v>1077</v>
      </c>
      <c r="C241" s="74">
        <v>2017</v>
      </c>
      <c r="D241" s="81">
        <v>126.5</v>
      </c>
      <c r="E241" s="72" t="s">
        <v>1958</v>
      </c>
      <c r="F241" s="76" t="s">
        <v>1959</v>
      </c>
      <c r="G241" s="72" t="s">
        <v>47</v>
      </c>
      <c r="H241" s="72" t="s">
        <v>1905</v>
      </c>
      <c r="I241" s="72" t="s">
        <v>1893</v>
      </c>
      <c r="J241" s="77" t="s">
        <v>1893</v>
      </c>
      <c r="K241" s="77"/>
      <c r="L241" s="77"/>
      <c r="M241" s="78" t="s">
        <v>1824</v>
      </c>
      <c r="N241" s="78" t="s">
        <v>1825</v>
      </c>
      <c r="O241" s="78"/>
      <c r="P241" s="80">
        <v>126.5</v>
      </c>
    </row>
    <row r="242" spans="1:16" x14ac:dyDescent="0.25">
      <c r="A242" s="72" t="s">
        <v>99</v>
      </c>
      <c r="B242" s="72" t="s">
        <v>1080</v>
      </c>
      <c r="C242" s="74">
        <v>2017</v>
      </c>
      <c r="D242" s="81">
        <v>161.80000000000001</v>
      </c>
      <c r="E242" s="72" t="s">
        <v>1958</v>
      </c>
      <c r="F242" s="76" t="s">
        <v>1959</v>
      </c>
      <c r="G242" s="72" t="s">
        <v>47</v>
      </c>
      <c r="H242" s="72" t="s">
        <v>1905</v>
      </c>
      <c r="I242" s="72" t="s">
        <v>1893</v>
      </c>
      <c r="J242" s="77" t="s">
        <v>1893</v>
      </c>
      <c r="K242" s="77"/>
      <c r="L242" s="77"/>
      <c r="M242" s="78" t="s">
        <v>1824</v>
      </c>
      <c r="N242" s="78" t="s">
        <v>1825</v>
      </c>
      <c r="O242" s="78"/>
      <c r="P242" s="80">
        <v>161.80000000000001</v>
      </c>
    </row>
    <row r="243" spans="1:16" x14ac:dyDescent="0.25">
      <c r="A243" s="72" t="s">
        <v>286</v>
      </c>
      <c r="B243" s="72" t="s">
        <v>1083</v>
      </c>
      <c r="C243" s="74">
        <v>2017</v>
      </c>
      <c r="D243" s="81">
        <v>139.57</v>
      </c>
      <c r="E243" s="72" t="s">
        <v>1958</v>
      </c>
      <c r="F243" s="76" t="s">
        <v>1959</v>
      </c>
      <c r="G243" s="72" t="s">
        <v>47</v>
      </c>
      <c r="H243" s="72" t="s">
        <v>1905</v>
      </c>
      <c r="I243" s="72" t="s">
        <v>1893</v>
      </c>
      <c r="J243" s="77" t="s">
        <v>1893</v>
      </c>
      <c r="K243" s="77"/>
      <c r="L243" s="77"/>
      <c r="M243" s="78" t="s">
        <v>1824</v>
      </c>
      <c r="N243" s="78" t="s">
        <v>1825</v>
      </c>
      <c r="O243" s="78"/>
      <c r="P243" s="80">
        <v>139.57</v>
      </c>
    </row>
    <row r="244" spans="1:16" x14ac:dyDescent="0.25">
      <c r="A244" s="72" t="s">
        <v>292</v>
      </c>
      <c r="B244" s="72" t="s">
        <v>1086</v>
      </c>
      <c r="C244" s="74">
        <v>2017</v>
      </c>
      <c r="D244" s="81">
        <v>174.89</v>
      </c>
      <c r="E244" s="72" t="s">
        <v>1958</v>
      </c>
      <c r="F244" s="76" t="s">
        <v>1959</v>
      </c>
      <c r="G244" s="72" t="s">
        <v>47</v>
      </c>
      <c r="H244" s="72" t="s">
        <v>1905</v>
      </c>
      <c r="I244" s="72" t="s">
        <v>1893</v>
      </c>
      <c r="J244" s="77" t="s">
        <v>1893</v>
      </c>
      <c r="K244" s="77"/>
      <c r="L244" s="77"/>
      <c r="M244" s="78" t="s">
        <v>1824</v>
      </c>
      <c r="N244" s="78" t="s">
        <v>1825</v>
      </c>
      <c r="O244" s="78"/>
      <c r="P244" s="80">
        <v>174.89</v>
      </c>
    </row>
    <row r="245" spans="1:16" x14ac:dyDescent="0.25">
      <c r="A245" s="72" t="s">
        <v>304</v>
      </c>
      <c r="B245" s="72" t="s">
        <v>1101</v>
      </c>
      <c r="C245" s="74">
        <v>2017</v>
      </c>
      <c r="D245" s="81">
        <v>160.44999999999999</v>
      </c>
      <c r="E245" s="72" t="s">
        <v>1958</v>
      </c>
      <c r="F245" s="76" t="s">
        <v>1959</v>
      </c>
      <c r="G245" s="72" t="s">
        <v>47</v>
      </c>
      <c r="H245" s="72" t="s">
        <v>1905</v>
      </c>
      <c r="I245" s="72" t="s">
        <v>1893</v>
      </c>
      <c r="J245" s="77" t="s">
        <v>1893</v>
      </c>
      <c r="K245" s="77"/>
      <c r="L245" s="77"/>
      <c r="M245" s="78" t="s">
        <v>1824</v>
      </c>
      <c r="N245" s="78" t="s">
        <v>1825</v>
      </c>
      <c r="O245" s="78"/>
      <c r="P245" s="80">
        <v>160.44999999999999</v>
      </c>
    </row>
    <row r="246" spans="1:16" x14ac:dyDescent="0.25">
      <c r="A246" s="72" t="s">
        <v>203</v>
      </c>
      <c r="B246" s="72" t="s">
        <v>1104</v>
      </c>
      <c r="C246" s="74">
        <v>2017</v>
      </c>
      <c r="D246" s="81">
        <v>208.1</v>
      </c>
      <c r="E246" s="72" t="s">
        <v>1958</v>
      </c>
      <c r="F246" s="76" t="s">
        <v>1959</v>
      </c>
      <c r="G246" s="72" t="s">
        <v>47</v>
      </c>
      <c r="H246" s="72" t="s">
        <v>1905</v>
      </c>
      <c r="I246" s="72" t="s">
        <v>1893</v>
      </c>
      <c r="J246" s="77" t="s">
        <v>1893</v>
      </c>
      <c r="K246" s="77"/>
      <c r="L246" s="77"/>
      <c r="M246" s="78" t="s">
        <v>1824</v>
      </c>
      <c r="N246" s="78" t="s">
        <v>1825</v>
      </c>
      <c r="O246" s="78"/>
      <c r="P246" s="80">
        <v>208.1</v>
      </c>
    </row>
    <row r="247" spans="1:16" x14ac:dyDescent="0.25">
      <c r="A247" s="72" t="s">
        <v>58</v>
      </c>
      <c r="B247" s="72" t="s">
        <v>1107</v>
      </c>
      <c r="C247" s="74">
        <v>2017</v>
      </c>
      <c r="D247" s="81">
        <v>177.17</v>
      </c>
      <c r="E247" s="72" t="s">
        <v>1958</v>
      </c>
      <c r="F247" s="76" t="s">
        <v>1959</v>
      </c>
      <c r="G247" s="72" t="s">
        <v>47</v>
      </c>
      <c r="H247" s="72" t="s">
        <v>1905</v>
      </c>
      <c r="I247" s="72" t="s">
        <v>1893</v>
      </c>
      <c r="J247" s="77" t="s">
        <v>1893</v>
      </c>
      <c r="K247" s="77"/>
      <c r="L247" s="77"/>
      <c r="M247" s="78" t="s">
        <v>1824</v>
      </c>
      <c r="N247" s="78" t="s">
        <v>1825</v>
      </c>
      <c r="O247" s="78"/>
      <c r="P247" s="80">
        <v>177.17</v>
      </c>
    </row>
    <row r="248" spans="1:16" x14ac:dyDescent="0.25">
      <c r="A248" s="72" t="s">
        <v>138</v>
      </c>
      <c r="B248" s="72" t="s">
        <v>1110</v>
      </c>
      <c r="C248" s="74">
        <v>2017</v>
      </c>
      <c r="D248" s="81">
        <v>224.82</v>
      </c>
      <c r="E248" s="72" t="s">
        <v>1958</v>
      </c>
      <c r="F248" s="76" t="s">
        <v>1959</v>
      </c>
      <c r="G248" s="72" t="s">
        <v>47</v>
      </c>
      <c r="H248" s="72" t="s">
        <v>1905</v>
      </c>
      <c r="I248" s="72" t="s">
        <v>1893</v>
      </c>
      <c r="J248" s="77" t="s">
        <v>1893</v>
      </c>
      <c r="K248" s="77"/>
      <c r="L248" s="77"/>
      <c r="M248" s="78" t="s">
        <v>1824</v>
      </c>
      <c r="N248" s="78" t="s">
        <v>1825</v>
      </c>
      <c r="O248" s="78"/>
      <c r="P248" s="80">
        <v>224.82</v>
      </c>
    </row>
    <row r="249" spans="1:16" x14ac:dyDescent="0.25">
      <c r="A249" s="72" t="s">
        <v>285</v>
      </c>
      <c r="B249" s="72" t="s">
        <v>1125</v>
      </c>
      <c r="C249" s="74">
        <v>2017</v>
      </c>
      <c r="D249" s="81">
        <v>176.41</v>
      </c>
      <c r="E249" s="72" t="s">
        <v>1958</v>
      </c>
      <c r="F249" s="76" t="s">
        <v>1959</v>
      </c>
      <c r="G249" s="72" t="s">
        <v>47</v>
      </c>
      <c r="H249" s="72" t="s">
        <v>1905</v>
      </c>
      <c r="I249" s="72" t="s">
        <v>1893</v>
      </c>
      <c r="J249" s="77" t="s">
        <v>1893</v>
      </c>
      <c r="K249" s="77"/>
      <c r="L249" s="77"/>
      <c r="M249" s="78" t="s">
        <v>1824</v>
      </c>
      <c r="N249" s="78" t="s">
        <v>1825</v>
      </c>
      <c r="O249" s="78"/>
      <c r="P249" s="80">
        <v>176.41</v>
      </c>
    </row>
    <row r="250" spans="1:16" x14ac:dyDescent="0.25">
      <c r="A250" s="72" t="s">
        <v>356</v>
      </c>
      <c r="B250" s="72" t="s">
        <v>1128</v>
      </c>
      <c r="C250" s="74">
        <v>2017</v>
      </c>
      <c r="D250" s="81">
        <v>224.06</v>
      </c>
      <c r="E250" s="72" t="s">
        <v>1958</v>
      </c>
      <c r="F250" s="76" t="s">
        <v>1959</v>
      </c>
      <c r="G250" s="72" t="s">
        <v>47</v>
      </c>
      <c r="H250" s="72" t="s">
        <v>1905</v>
      </c>
      <c r="I250" s="72" t="s">
        <v>1893</v>
      </c>
      <c r="J250" s="77" t="s">
        <v>1893</v>
      </c>
      <c r="K250" s="77"/>
      <c r="L250" s="77"/>
      <c r="M250" s="78" t="s">
        <v>1824</v>
      </c>
      <c r="N250" s="78" t="s">
        <v>1825</v>
      </c>
      <c r="O250" s="78"/>
      <c r="P250" s="80">
        <v>224.06</v>
      </c>
    </row>
    <row r="251" spans="1:16" x14ac:dyDescent="0.25">
      <c r="A251" s="72" t="s">
        <v>258</v>
      </c>
      <c r="B251" s="72" t="s">
        <v>1131</v>
      </c>
      <c r="C251" s="74">
        <v>2017</v>
      </c>
      <c r="D251" s="81">
        <v>197.15</v>
      </c>
      <c r="E251" s="72" t="s">
        <v>1958</v>
      </c>
      <c r="F251" s="76" t="s">
        <v>1959</v>
      </c>
      <c r="G251" s="72" t="s">
        <v>47</v>
      </c>
      <c r="H251" s="72" t="s">
        <v>1905</v>
      </c>
      <c r="I251" s="72" t="s">
        <v>1893</v>
      </c>
      <c r="J251" s="77" t="s">
        <v>1893</v>
      </c>
      <c r="K251" s="77"/>
      <c r="L251" s="77"/>
      <c r="M251" s="78" t="s">
        <v>1824</v>
      </c>
      <c r="N251" s="78" t="s">
        <v>1825</v>
      </c>
      <c r="O251" s="78"/>
      <c r="P251" s="80">
        <v>197.15</v>
      </c>
    </row>
    <row r="252" spans="1:16" x14ac:dyDescent="0.25">
      <c r="A252" s="72" t="s">
        <v>179</v>
      </c>
      <c r="B252" s="72" t="s">
        <v>1134</v>
      </c>
      <c r="C252" s="74">
        <v>2017</v>
      </c>
      <c r="D252" s="81">
        <v>244.8</v>
      </c>
      <c r="E252" s="72" t="s">
        <v>1958</v>
      </c>
      <c r="F252" s="76" t="s">
        <v>1959</v>
      </c>
      <c r="G252" s="72" t="s">
        <v>47</v>
      </c>
      <c r="H252" s="72" t="s">
        <v>1905</v>
      </c>
      <c r="I252" s="72" t="s">
        <v>1893</v>
      </c>
      <c r="J252" s="77" t="s">
        <v>1893</v>
      </c>
      <c r="K252" s="77"/>
      <c r="L252" s="77"/>
      <c r="M252" s="78" t="s">
        <v>1824</v>
      </c>
      <c r="N252" s="78" t="s">
        <v>1825</v>
      </c>
      <c r="O252" s="78"/>
      <c r="P252" s="80">
        <v>244.8</v>
      </c>
    </row>
    <row r="253" spans="1:16" x14ac:dyDescent="0.25">
      <c r="A253" s="72" t="s">
        <v>2046</v>
      </c>
      <c r="B253" s="72" t="s">
        <v>2047</v>
      </c>
      <c r="C253" s="74">
        <v>2017</v>
      </c>
      <c r="D253" s="81">
        <v>8.5299999999999994</v>
      </c>
      <c r="E253" s="72" t="s">
        <v>1958</v>
      </c>
      <c r="F253" s="76" t="s">
        <v>1959</v>
      </c>
      <c r="G253" s="72" t="s">
        <v>1960</v>
      </c>
      <c r="H253" s="72" t="s">
        <v>1905</v>
      </c>
      <c r="I253" s="72" t="s">
        <v>1893</v>
      </c>
      <c r="J253" s="77" t="s">
        <v>1893</v>
      </c>
      <c r="K253" s="77"/>
      <c r="L253" s="77"/>
      <c r="M253" s="78" t="s">
        <v>1824</v>
      </c>
      <c r="N253" s="78" t="s">
        <v>1825</v>
      </c>
      <c r="O253" s="78"/>
      <c r="P253" s="80">
        <v>8.5299999999999994</v>
      </c>
    </row>
    <row r="254" spans="1:16" x14ac:dyDescent="0.25">
      <c r="A254" s="72" t="s">
        <v>2048</v>
      </c>
      <c r="B254" s="72" t="s">
        <v>2049</v>
      </c>
      <c r="C254" s="74">
        <v>2017</v>
      </c>
      <c r="D254" s="81">
        <v>10.72</v>
      </c>
      <c r="E254" s="72" t="s">
        <v>1958</v>
      </c>
      <c r="F254" s="76" t="s">
        <v>1959</v>
      </c>
      <c r="G254" s="72" t="s">
        <v>1960</v>
      </c>
      <c r="H254" s="72" t="s">
        <v>1905</v>
      </c>
      <c r="I254" s="72" t="s">
        <v>1893</v>
      </c>
      <c r="J254" s="77" t="s">
        <v>1893</v>
      </c>
      <c r="K254" s="77"/>
      <c r="L254" s="77"/>
      <c r="M254" s="78" t="s">
        <v>1824</v>
      </c>
      <c r="N254" s="78" t="s">
        <v>1825</v>
      </c>
      <c r="O254" s="78"/>
      <c r="P254" s="80">
        <v>10.72</v>
      </c>
    </row>
    <row r="255" spans="1:16" x14ac:dyDescent="0.25">
      <c r="A255" s="72" t="s">
        <v>2050</v>
      </c>
      <c r="B255" s="72" t="s">
        <v>2051</v>
      </c>
      <c r="C255" s="74">
        <v>2017</v>
      </c>
      <c r="D255" s="81">
        <v>8.9700000000000006</v>
      </c>
      <c r="E255" s="72" t="s">
        <v>1958</v>
      </c>
      <c r="F255" s="76" t="s">
        <v>1959</v>
      </c>
      <c r="G255" s="72" t="s">
        <v>1960</v>
      </c>
      <c r="H255" s="72" t="s">
        <v>1905</v>
      </c>
      <c r="I255" s="72" t="s">
        <v>1893</v>
      </c>
      <c r="J255" s="77" t="s">
        <v>1893</v>
      </c>
      <c r="K255" s="77"/>
      <c r="L255" s="77"/>
      <c r="M255" s="78" t="s">
        <v>1824</v>
      </c>
      <c r="N255" s="78" t="s">
        <v>1825</v>
      </c>
      <c r="O255" s="78"/>
      <c r="P255" s="80">
        <v>8.9700000000000006</v>
      </c>
    </row>
    <row r="256" spans="1:16" x14ac:dyDescent="0.25">
      <c r="A256" s="72" t="s">
        <v>2052</v>
      </c>
      <c r="B256" s="72" t="s">
        <v>2053</v>
      </c>
      <c r="C256" s="74">
        <v>2017</v>
      </c>
      <c r="D256" s="81">
        <v>1.39</v>
      </c>
      <c r="E256" s="72" t="s">
        <v>1958</v>
      </c>
      <c r="F256" s="76" t="s">
        <v>1959</v>
      </c>
      <c r="G256" s="72" t="s">
        <v>2054</v>
      </c>
      <c r="H256" s="72" t="s">
        <v>1905</v>
      </c>
      <c r="I256" s="72" t="s">
        <v>1893</v>
      </c>
      <c r="J256" s="77" t="s">
        <v>1893</v>
      </c>
      <c r="K256" s="77"/>
      <c r="L256" s="77"/>
      <c r="M256" s="78" t="s">
        <v>1824</v>
      </c>
      <c r="N256" s="78" t="s">
        <v>1825</v>
      </c>
      <c r="O256" s="78"/>
      <c r="P256" s="80">
        <v>1.39</v>
      </c>
    </row>
    <row r="257" spans="1:16" x14ac:dyDescent="0.25">
      <c r="A257" s="72" t="s">
        <v>2055</v>
      </c>
      <c r="B257" s="72" t="s">
        <v>2056</v>
      </c>
      <c r="C257" s="74">
        <v>2017</v>
      </c>
      <c r="D257" s="81">
        <v>1.42</v>
      </c>
      <c r="E257" s="72" t="s">
        <v>1958</v>
      </c>
      <c r="F257" s="76" t="s">
        <v>1959</v>
      </c>
      <c r="G257" s="72" t="s">
        <v>2054</v>
      </c>
      <c r="H257" s="72" t="s">
        <v>1905</v>
      </c>
      <c r="I257" s="72" t="s">
        <v>1893</v>
      </c>
      <c r="J257" s="77" t="s">
        <v>1893</v>
      </c>
      <c r="K257" s="77"/>
      <c r="L257" s="77"/>
      <c r="M257" s="78" t="s">
        <v>1824</v>
      </c>
      <c r="N257" s="78" t="s">
        <v>1825</v>
      </c>
      <c r="O257" s="78"/>
      <c r="P257" s="80">
        <v>1.42</v>
      </c>
    </row>
    <row r="258" spans="1:16" x14ac:dyDescent="0.25">
      <c r="A258" s="72" t="s">
        <v>2057</v>
      </c>
      <c r="B258" s="72" t="s">
        <v>2058</v>
      </c>
      <c r="C258" s="74">
        <v>2017</v>
      </c>
      <c r="D258" s="81">
        <v>1.86</v>
      </c>
      <c r="E258" s="72" t="s">
        <v>1958</v>
      </c>
      <c r="F258" s="76" t="s">
        <v>1959</v>
      </c>
      <c r="G258" s="72" t="s">
        <v>2054</v>
      </c>
      <c r="H258" s="72" t="s">
        <v>1905</v>
      </c>
      <c r="I258" s="72" t="s">
        <v>1893</v>
      </c>
      <c r="J258" s="77" t="s">
        <v>1893</v>
      </c>
      <c r="K258" s="77"/>
      <c r="L258" s="77"/>
      <c r="M258" s="78" t="s">
        <v>1824</v>
      </c>
      <c r="N258" s="78" t="s">
        <v>1825</v>
      </c>
      <c r="O258" s="78"/>
      <c r="P258" s="80">
        <v>1.86</v>
      </c>
    </row>
    <row r="259" spans="1:16" x14ac:dyDescent="0.25">
      <c r="A259" s="72" t="s">
        <v>2059</v>
      </c>
      <c r="B259" s="72" t="s">
        <v>2060</v>
      </c>
      <c r="C259" s="74">
        <v>2017</v>
      </c>
      <c r="D259" s="81">
        <v>7.01</v>
      </c>
      <c r="E259" s="72" t="s">
        <v>1854</v>
      </c>
      <c r="F259" s="76" t="s">
        <v>1855</v>
      </c>
      <c r="G259" s="72" t="s">
        <v>2061</v>
      </c>
      <c r="H259" s="72" t="s">
        <v>1905</v>
      </c>
      <c r="I259" s="72" t="s">
        <v>1893</v>
      </c>
      <c r="J259" s="77" t="s">
        <v>1893</v>
      </c>
      <c r="K259" s="77"/>
      <c r="L259" s="77"/>
      <c r="M259" s="78" t="s">
        <v>1824</v>
      </c>
      <c r="N259" s="78" t="s">
        <v>1825</v>
      </c>
      <c r="O259" s="78"/>
      <c r="P259" s="80">
        <v>7.01</v>
      </c>
    </row>
    <row r="260" spans="1:16" x14ac:dyDescent="0.25">
      <c r="A260" s="72" t="s">
        <v>2062</v>
      </c>
      <c r="B260" s="72" t="s">
        <v>1952</v>
      </c>
      <c r="C260" s="74">
        <v>2017</v>
      </c>
      <c r="D260" s="81">
        <v>6.93</v>
      </c>
      <c r="E260" s="72" t="s">
        <v>1854</v>
      </c>
      <c r="F260" s="76" t="s">
        <v>1855</v>
      </c>
      <c r="G260" s="72" t="s">
        <v>2061</v>
      </c>
      <c r="H260" s="72" t="s">
        <v>1905</v>
      </c>
      <c r="I260" s="72" t="s">
        <v>1893</v>
      </c>
      <c r="J260" s="77" t="s">
        <v>1893</v>
      </c>
      <c r="K260" s="77"/>
      <c r="L260" s="77"/>
      <c r="M260" s="78" t="s">
        <v>1824</v>
      </c>
      <c r="N260" s="78" t="s">
        <v>1825</v>
      </c>
      <c r="O260" s="78"/>
      <c r="P260" s="80">
        <v>6.93</v>
      </c>
    </row>
    <row r="261" spans="1:16" x14ac:dyDescent="0.25">
      <c r="A261" s="72" t="s">
        <v>2063</v>
      </c>
      <c r="B261" s="72" t="s">
        <v>2064</v>
      </c>
      <c r="C261" s="74">
        <v>2017</v>
      </c>
      <c r="D261" s="81">
        <v>19.97</v>
      </c>
      <c r="E261" s="72" t="s">
        <v>1854</v>
      </c>
      <c r="F261" s="76" t="s">
        <v>1855</v>
      </c>
      <c r="G261" s="72" t="s">
        <v>2061</v>
      </c>
      <c r="H261" s="72" t="s">
        <v>1905</v>
      </c>
      <c r="I261" s="72" t="s">
        <v>1893</v>
      </c>
      <c r="J261" s="77" t="s">
        <v>1893</v>
      </c>
      <c r="K261" s="77"/>
      <c r="L261" s="77"/>
      <c r="M261" s="78" t="s">
        <v>1824</v>
      </c>
      <c r="N261" s="78" t="s">
        <v>1825</v>
      </c>
      <c r="O261" s="78"/>
      <c r="P261" s="80">
        <v>19.97</v>
      </c>
    </row>
    <row r="262" spans="1:16" x14ac:dyDescent="0.25">
      <c r="A262" s="72" t="s">
        <v>2065</v>
      </c>
      <c r="B262" s="72" t="s">
        <v>1955</v>
      </c>
      <c r="C262" s="74">
        <v>2017</v>
      </c>
      <c r="D262" s="81">
        <v>19.97</v>
      </c>
      <c r="E262" s="72" t="s">
        <v>1854</v>
      </c>
      <c r="F262" s="76" t="s">
        <v>1855</v>
      </c>
      <c r="G262" s="72" t="s">
        <v>2061</v>
      </c>
      <c r="H262" s="72" t="s">
        <v>1905</v>
      </c>
      <c r="I262" s="72" t="s">
        <v>1893</v>
      </c>
      <c r="J262" s="77" t="s">
        <v>1893</v>
      </c>
      <c r="K262" s="77"/>
      <c r="L262" s="77"/>
      <c r="M262" s="78" t="s">
        <v>1824</v>
      </c>
      <c r="N262" s="78" t="s">
        <v>1825</v>
      </c>
      <c r="O262" s="78"/>
      <c r="P262" s="80">
        <v>19.97</v>
      </c>
    </row>
    <row r="263" spans="1:16" x14ac:dyDescent="0.25">
      <c r="A263" s="72" t="s">
        <v>2066</v>
      </c>
      <c r="B263" s="72" t="s">
        <v>2067</v>
      </c>
      <c r="C263" s="74">
        <v>2017</v>
      </c>
      <c r="D263" s="81">
        <v>29.87</v>
      </c>
      <c r="E263" s="72" t="s">
        <v>1958</v>
      </c>
      <c r="F263" s="76" t="s">
        <v>1959</v>
      </c>
      <c r="G263" s="72" t="s">
        <v>2068</v>
      </c>
      <c r="H263" s="72" t="s">
        <v>1905</v>
      </c>
      <c r="I263" s="72" t="s">
        <v>1893</v>
      </c>
      <c r="J263" s="77" t="s">
        <v>1893</v>
      </c>
      <c r="K263" s="77"/>
      <c r="L263" s="77"/>
      <c r="M263" s="78" t="s">
        <v>1824</v>
      </c>
      <c r="N263" s="78" t="s">
        <v>1825</v>
      </c>
      <c r="O263" s="78"/>
      <c r="P263" s="80">
        <v>29.87</v>
      </c>
    </row>
    <row r="264" spans="1:16" x14ac:dyDescent="0.25">
      <c r="A264" s="72" t="s">
        <v>2069</v>
      </c>
      <c r="B264" s="72" t="s">
        <v>2070</v>
      </c>
      <c r="C264" s="74">
        <v>2017</v>
      </c>
      <c r="D264" s="81">
        <v>21.17</v>
      </c>
      <c r="E264" s="72" t="s">
        <v>1831</v>
      </c>
      <c r="F264" s="76" t="s">
        <v>1832</v>
      </c>
      <c r="G264" s="72" t="s">
        <v>2068</v>
      </c>
      <c r="H264" s="72" t="s">
        <v>1905</v>
      </c>
      <c r="I264" s="72" t="s">
        <v>1893</v>
      </c>
      <c r="J264" s="77" t="s">
        <v>1893</v>
      </c>
      <c r="K264" s="77"/>
      <c r="L264" s="77"/>
      <c r="M264" s="78" t="s">
        <v>1824</v>
      </c>
      <c r="N264" s="78" t="s">
        <v>1825</v>
      </c>
      <c r="O264" s="78"/>
      <c r="P264" s="80">
        <v>21.17</v>
      </c>
    </row>
    <row r="265" spans="1:16" x14ac:dyDescent="0.25">
      <c r="A265" s="72" t="s">
        <v>2071</v>
      </c>
      <c r="B265" s="72" t="s">
        <v>2072</v>
      </c>
      <c r="C265" s="74">
        <v>2017</v>
      </c>
      <c r="D265" s="81">
        <v>25.93</v>
      </c>
      <c r="E265" s="72" t="s">
        <v>1831</v>
      </c>
      <c r="F265" s="76" t="s">
        <v>1832</v>
      </c>
      <c r="G265" s="72" t="s">
        <v>2068</v>
      </c>
      <c r="H265" s="72" t="s">
        <v>1905</v>
      </c>
      <c r="I265" s="72" t="s">
        <v>1893</v>
      </c>
      <c r="J265" s="77" t="s">
        <v>1893</v>
      </c>
      <c r="K265" s="77"/>
      <c r="L265" s="77"/>
      <c r="M265" s="78" t="s">
        <v>1824</v>
      </c>
      <c r="N265" s="78" t="s">
        <v>1825</v>
      </c>
      <c r="O265" s="78"/>
      <c r="P265" s="80">
        <v>25.93</v>
      </c>
    </row>
    <row r="266" spans="1:16" x14ac:dyDescent="0.25">
      <c r="A266" s="72" t="s">
        <v>2073</v>
      </c>
      <c r="B266" s="72" t="s">
        <v>2074</v>
      </c>
      <c r="C266" s="74">
        <v>2017</v>
      </c>
      <c r="D266" s="81">
        <v>38.82</v>
      </c>
      <c r="E266" s="72" t="s">
        <v>1831</v>
      </c>
      <c r="F266" s="76" t="s">
        <v>1832</v>
      </c>
      <c r="G266" s="72" t="s">
        <v>2068</v>
      </c>
      <c r="H266" s="72" t="s">
        <v>1905</v>
      </c>
      <c r="I266" s="72" t="s">
        <v>1893</v>
      </c>
      <c r="J266" s="77" t="s">
        <v>1893</v>
      </c>
      <c r="K266" s="77"/>
      <c r="L266" s="77"/>
      <c r="M266" s="78" t="s">
        <v>1824</v>
      </c>
      <c r="N266" s="78" t="s">
        <v>1825</v>
      </c>
      <c r="O266" s="78"/>
      <c r="P266" s="80">
        <v>38.82</v>
      </c>
    </row>
    <row r="267" spans="1:16" x14ac:dyDescent="0.25">
      <c r="A267" s="72" t="s">
        <v>2075</v>
      </c>
      <c r="B267" s="72" t="s">
        <v>2076</v>
      </c>
      <c r="C267" s="74">
        <v>2017</v>
      </c>
      <c r="D267" s="81">
        <v>211.42</v>
      </c>
      <c r="E267" s="72" t="s">
        <v>1958</v>
      </c>
      <c r="F267" s="76" t="s">
        <v>1959</v>
      </c>
      <c r="G267" s="72" t="s">
        <v>2068</v>
      </c>
      <c r="H267" s="72" t="s">
        <v>1905</v>
      </c>
      <c r="I267" s="72" t="s">
        <v>1893</v>
      </c>
      <c r="J267" s="77" t="s">
        <v>1893</v>
      </c>
      <c r="K267" s="77"/>
      <c r="L267" s="77"/>
      <c r="M267" s="78" t="s">
        <v>1824</v>
      </c>
      <c r="N267" s="78" t="s">
        <v>1825</v>
      </c>
      <c r="O267" s="78"/>
      <c r="P267" s="80">
        <v>211.42</v>
      </c>
    </row>
    <row r="268" spans="1:16" x14ac:dyDescent="0.25">
      <c r="A268" s="72" t="s">
        <v>2077</v>
      </c>
      <c r="B268" s="72" t="s">
        <v>2078</v>
      </c>
      <c r="C268" s="74">
        <v>2017</v>
      </c>
      <c r="D268" s="81">
        <v>65.31</v>
      </c>
      <c r="E268" s="72" t="s">
        <v>1831</v>
      </c>
      <c r="F268" s="76" t="s">
        <v>1832</v>
      </c>
      <c r="G268" s="72" t="s">
        <v>2068</v>
      </c>
      <c r="H268" s="72" t="s">
        <v>1905</v>
      </c>
      <c r="I268" s="72" t="s">
        <v>1893</v>
      </c>
      <c r="J268" s="77" t="s">
        <v>1893</v>
      </c>
      <c r="K268" s="77"/>
      <c r="L268" s="77"/>
      <c r="M268" s="78" t="s">
        <v>1824</v>
      </c>
      <c r="N268" s="78" t="s">
        <v>1825</v>
      </c>
      <c r="O268" s="78"/>
      <c r="P268" s="80">
        <v>65.31</v>
      </c>
    </row>
    <row r="269" spans="1:16" x14ac:dyDescent="0.25">
      <c r="A269" s="72" t="s">
        <v>2079</v>
      </c>
      <c r="B269" s="72" t="s">
        <v>2080</v>
      </c>
      <c r="C269" s="74">
        <v>2017</v>
      </c>
      <c r="D269" s="81">
        <v>40.99</v>
      </c>
      <c r="E269" s="72" t="s">
        <v>1958</v>
      </c>
      <c r="F269" s="76" t="s">
        <v>1959</v>
      </c>
      <c r="G269" s="72" t="s">
        <v>2068</v>
      </c>
      <c r="H269" s="72" t="s">
        <v>1905</v>
      </c>
      <c r="I269" s="72" t="s">
        <v>1893</v>
      </c>
      <c r="J269" s="77" t="s">
        <v>1893</v>
      </c>
      <c r="K269" s="77"/>
      <c r="L269" s="77"/>
      <c r="M269" s="78" t="s">
        <v>1824</v>
      </c>
      <c r="N269" s="78" t="s">
        <v>1825</v>
      </c>
      <c r="O269" s="78"/>
      <c r="P269" s="80">
        <v>40.99</v>
      </c>
    </row>
    <row r="270" spans="1:16" x14ac:dyDescent="0.25">
      <c r="A270" s="72" t="s">
        <v>2081</v>
      </c>
      <c r="B270" s="72" t="s">
        <v>2082</v>
      </c>
      <c r="C270" s="74">
        <v>2017</v>
      </c>
      <c r="D270" s="81">
        <v>39.69</v>
      </c>
      <c r="E270" s="72" t="s">
        <v>1958</v>
      </c>
      <c r="F270" s="76" t="s">
        <v>1959</v>
      </c>
      <c r="G270" s="72" t="s">
        <v>2068</v>
      </c>
      <c r="H270" s="72" t="s">
        <v>1905</v>
      </c>
      <c r="I270" s="72" t="s">
        <v>1893</v>
      </c>
      <c r="J270" s="77" t="s">
        <v>1893</v>
      </c>
      <c r="K270" s="77"/>
      <c r="L270" s="77"/>
      <c r="M270" s="78" t="s">
        <v>1824</v>
      </c>
      <c r="N270" s="78" t="s">
        <v>1825</v>
      </c>
      <c r="O270" s="78"/>
      <c r="P270" s="80">
        <v>39.69</v>
      </c>
    </row>
    <row r="271" spans="1:16" x14ac:dyDescent="0.25">
      <c r="A271" s="72" t="s">
        <v>2083</v>
      </c>
      <c r="B271" s="72" t="s">
        <v>2084</v>
      </c>
      <c r="C271" s="74">
        <v>2017</v>
      </c>
      <c r="D271" s="81">
        <v>44.52</v>
      </c>
      <c r="E271" s="72" t="s">
        <v>1958</v>
      </c>
      <c r="F271" s="76" t="s">
        <v>1959</v>
      </c>
      <c r="G271" s="72" t="s">
        <v>2068</v>
      </c>
      <c r="H271" s="72" t="s">
        <v>1905</v>
      </c>
      <c r="I271" s="72" t="s">
        <v>1893</v>
      </c>
      <c r="J271" s="77" t="s">
        <v>1893</v>
      </c>
      <c r="K271" s="77"/>
      <c r="L271" s="77"/>
      <c r="M271" s="78" t="s">
        <v>1824</v>
      </c>
      <c r="N271" s="78" t="s">
        <v>1825</v>
      </c>
      <c r="O271" s="78"/>
      <c r="P271" s="80">
        <v>44.52</v>
      </c>
    </row>
    <row r="272" spans="1:16" x14ac:dyDescent="0.25">
      <c r="A272" s="72" t="s">
        <v>2085</v>
      </c>
      <c r="B272" s="72" t="s">
        <v>2086</v>
      </c>
      <c r="C272" s="74">
        <v>2017</v>
      </c>
      <c r="D272" s="81">
        <v>76.69</v>
      </c>
      <c r="E272" s="72" t="s">
        <v>1958</v>
      </c>
      <c r="F272" s="76" t="s">
        <v>1959</v>
      </c>
      <c r="G272" s="72" t="s">
        <v>2068</v>
      </c>
      <c r="H272" s="72" t="s">
        <v>1905</v>
      </c>
      <c r="I272" s="72" t="s">
        <v>1893</v>
      </c>
      <c r="J272" s="77" t="s">
        <v>1893</v>
      </c>
      <c r="K272" s="77"/>
      <c r="L272" s="77"/>
      <c r="M272" s="78" t="s">
        <v>1824</v>
      </c>
      <c r="N272" s="78" t="s">
        <v>1825</v>
      </c>
      <c r="O272" s="78"/>
      <c r="P272" s="80">
        <v>76.69</v>
      </c>
    </row>
    <row r="273" spans="1:16" x14ac:dyDescent="0.25">
      <c r="A273" s="72" t="s">
        <v>2087</v>
      </c>
      <c r="B273" s="72" t="s">
        <v>2088</v>
      </c>
      <c r="C273" s="74">
        <v>2017</v>
      </c>
      <c r="D273" s="81">
        <v>97.17</v>
      </c>
      <c r="E273" s="72" t="s">
        <v>1958</v>
      </c>
      <c r="F273" s="76" t="s">
        <v>1959</v>
      </c>
      <c r="G273" s="72" t="s">
        <v>2068</v>
      </c>
      <c r="H273" s="72" t="s">
        <v>1905</v>
      </c>
      <c r="I273" s="72" t="s">
        <v>1893</v>
      </c>
      <c r="J273" s="77" t="s">
        <v>1893</v>
      </c>
      <c r="K273" s="77"/>
      <c r="L273" s="77"/>
      <c r="M273" s="78" t="s">
        <v>1824</v>
      </c>
      <c r="N273" s="78" t="s">
        <v>1825</v>
      </c>
      <c r="O273" s="78"/>
      <c r="P273" s="80">
        <v>97.17</v>
      </c>
    </row>
    <row r="274" spans="1:16" x14ac:dyDescent="0.25">
      <c r="A274" s="72" t="s">
        <v>2089</v>
      </c>
      <c r="B274" s="72" t="s">
        <v>2090</v>
      </c>
      <c r="C274" s="74">
        <v>2017</v>
      </c>
      <c r="D274" s="81">
        <v>34.1</v>
      </c>
      <c r="E274" s="72" t="s">
        <v>1958</v>
      </c>
      <c r="F274" s="76" t="s">
        <v>1959</v>
      </c>
      <c r="G274" s="72" t="s">
        <v>2068</v>
      </c>
      <c r="H274" s="72" t="s">
        <v>1905</v>
      </c>
      <c r="I274" s="72" t="s">
        <v>1893</v>
      </c>
      <c r="J274" s="77" t="s">
        <v>1893</v>
      </c>
      <c r="K274" s="77"/>
      <c r="L274" s="77"/>
      <c r="M274" s="78" t="s">
        <v>1824</v>
      </c>
      <c r="N274" s="78" t="s">
        <v>1825</v>
      </c>
      <c r="O274" s="78"/>
      <c r="P274" s="80">
        <v>34.1</v>
      </c>
    </row>
    <row r="275" spans="1:16" x14ac:dyDescent="0.25">
      <c r="A275" s="72" t="s">
        <v>2091</v>
      </c>
      <c r="B275" s="72" t="s">
        <v>2092</v>
      </c>
      <c r="C275" s="74">
        <v>2017</v>
      </c>
      <c r="D275" s="81">
        <v>20.78</v>
      </c>
      <c r="E275" s="72" t="s">
        <v>1958</v>
      </c>
      <c r="F275" s="76" t="s">
        <v>1959</v>
      </c>
      <c r="G275" s="72" t="s">
        <v>2068</v>
      </c>
      <c r="H275" s="72" t="s">
        <v>1905</v>
      </c>
      <c r="I275" s="72" t="s">
        <v>1893</v>
      </c>
      <c r="J275" s="77" t="s">
        <v>1893</v>
      </c>
      <c r="K275" s="77"/>
      <c r="L275" s="77"/>
      <c r="M275" s="78" t="s">
        <v>1824</v>
      </c>
      <c r="N275" s="78" t="s">
        <v>1825</v>
      </c>
      <c r="O275" s="78"/>
      <c r="P275" s="80">
        <v>20.78</v>
      </c>
    </row>
    <row r="276" spans="1:16" x14ac:dyDescent="0.25">
      <c r="A276" s="72" t="s">
        <v>2093</v>
      </c>
      <c r="B276" s="72" t="s">
        <v>2094</v>
      </c>
      <c r="C276" s="74">
        <v>2017</v>
      </c>
      <c r="D276" s="81">
        <v>17.100000000000001</v>
      </c>
      <c r="E276" s="72" t="s">
        <v>1958</v>
      </c>
      <c r="F276" s="76" t="s">
        <v>1959</v>
      </c>
      <c r="G276" s="72" t="s">
        <v>2068</v>
      </c>
      <c r="H276" s="72" t="s">
        <v>1905</v>
      </c>
      <c r="I276" s="72" t="s">
        <v>1893</v>
      </c>
      <c r="J276" s="77" t="s">
        <v>1893</v>
      </c>
      <c r="K276" s="77"/>
      <c r="L276" s="77"/>
      <c r="M276" s="78" t="s">
        <v>1824</v>
      </c>
      <c r="N276" s="78" t="s">
        <v>1825</v>
      </c>
      <c r="O276" s="78"/>
      <c r="P276" s="80">
        <v>17.100000000000001</v>
      </c>
    </row>
    <row r="277" spans="1:16" x14ac:dyDescent="0.25">
      <c r="A277" s="72" t="s">
        <v>2095</v>
      </c>
      <c r="B277" s="72" t="s">
        <v>2096</v>
      </c>
      <c r="C277" s="74">
        <v>2017</v>
      </c>
      <c r="D277" s="81">
        <v>118.9</v>
      </c>
      <c r="E277" s="72" t="s">
        <v>1821</v>
      </c>
      <c r="F277" s="76" t="s">
        <v>1822</v>
      </c>
      <c r="G277" s="72" t="s">
        <v>2068</v>
      </c>
      <c r="H277" s="72" t="s">
        <v>1905</v>
      </c>
      <c r="I277" s="72" t="s">
        <v>1893</v>
      </c>
      <c r="J277" s="77" t="s">
        <v>1893</v>
      </c>
      <c r="K277" s="77"/>
      <c r="L277" s="77"/>
      <c r="M277" s="78" t="s">
        <v>1824</v>
      </c>
      <c r="N277" s="78" t="s">
        <v>1825</v>
      </c>
      <c r="O277" s="87"/>
      <c r="P277" s="80">
        <v>118.9</v>
      </c>
    </row>
    <row r="278" spans="1:16" ht="102" x14ac:dyDescent="0.25">
      <c r="A278" s="84" t="s">
        <v>1956</v>
      </c>
      <c r="B278" s="84" t="s">
        <v>1957</v>
      </c>
      <c r="C278" s="74">
        <v>2017</v>
      </c>
      <c r="D278" s="85">
        <v>3.03</v>
      </c>
      <c r="E278" s="72" t="s">
        <v>1958</v>
      </c>
      <c r="F278" s="76" t="s">
        <v>1959</v>
      </c>
      <c r="G278" s="72" t="s">
        <v>1960</v>
      </c>
      <c r="H278" s="72" t="s">
        <v>1905</v>
      </c>
      <c r="I278" s="72" t="s">
        <v>1893</v>
      </c>
      <c r="J278" s="77" t="s">
        <v>1893</v>
      </c>
      <c r="K278" s="77"/>
      <c r="L278" s="77"/>
      <c r="M278" s="78" t="s">
        <v>1961</v>
      </c>
      <c r="N278" s="78" t="s">
        <v>1962</v>
      </c>
      <c r="O278" s="78"/>
      <c r="P278" s="86">
        <v>3.5999999999999996</v>
      </c>
    </row>
    <row r="279" spans="1:16" ht="102" x14ac:dyDescent="0.25">
      <c r="A279" s="84" t="s">
        <v>1963</v>
      </c>
      <c r="B279" s="84" t="s">
        <v>1964</v>
      </c>
      <c r="C279" s="74">
        <v>2017</v>
      </c>
      <c r="D279" s="85">
        <v>3.03</v>
      </c>
      <c r="E279" s="72" t="s">
        <v>1958</v>
      </c>
      <c r="F279" s="76" t="s">
        <v>1959</v>
      </c>
      <c r="G279" s="72" t="s">
        <v>1960</v>
      </c>
      <c r="H279" s="72" t="s">
        <v>1905</v>
      </c>
      <c r="I279" s="72" t="s">
        <v>1893</v>
      </c>
      <c r="J279" s="77" t="s">
        <v>1893</v>
      </c>
      <c r="K279" s="77"/>
      <c r="L279" s="77"/>
      <c r="M279" s="78" t="s">
        <v>1961</v>
      </c>
      <c r="N279" s="78" t="s">
        <v>1962</v>
      </c>
      <c r="O279" s="78"/>
      <c r="P279" s="86">
        <v>3.5999999999999996</v>
      </c>
    </row>
    <row r="280" spans="1:16" ht="102" x14ac:dyDescent="0.25">
      <c r="A280" s="84" t="s">
        <v>1965</v>
      </c>
      <c r="B280" s="84" t="s">
        <v>1966</v>
      </c>
      <c r="C280" s="74">
        <v>2017</v>
      </c>
      <c r="D280" s="85">
        <v>3.09</v>
      </c>
      <c r="E280" s="72" t="s">
        <v>1958</v>
      </c>
      <c r="F280" s="76" t="s">
        <v>1959</v>
      </c>
      <c r="G280" s="72" t="s">
        <v>1960</v>
      </c>
      <c r="H280" s="72" t="s">
        <v>1905</v>
      </c>
      <c r="I280" s="72" t="s">
        <v>1893</v>
      </c>
      <c r="J280" s="77" t="s">
        <v>1893</v>
      </c>
      <c r="K280" s="77"/>
      <c r="L280" s="77"/>
      <c r="M280" s="78" t="s">
        <v>1961</v>
      </c>
      <c r="N280" s="78" t="s">
        <v>1962</v>
      </c>
      <c r="O280" s="78"/>
      <c r="P280" s="86">
        <v>3.6599999999999997</v>
      </c>
    </row>
    <row r="281" spans="1:16" ht="102" x14ac:dyDescent="0.25">
      <c r="A281" s="84" t="s">
        <v>1967</v>
      </c>
      <c r="B281" s="84" t="s">
        <v>1968</v>
      </c>
      <c r="C281" s="74">
        <v>2017</v>
      </c>
      <c r="D281" s="85">
        <v>3.09</v>
      </c>
      <c r="E281" s="72" t="s">
        <v>1958</v>
      </c>
      <c r="F281" s="76" t="s">
        <v>1959</v>
      </c>
      <c r="G281" s="72" t="s">
        <v>1960</v>
      </c>
      <c r="H281" s="72" t="s">
        <v>1905</v>
      </c>
      <c r="I281" s="72" t="s">
        <v>1893</v>
      </c>
      <c r="J281" s="77" t="s">
        <v>1893</v>
      </c>
      <c r="K281" s="77"/>
      <c r="L281" s="77"/>
      <c r="M281" s="78" t="s">
        <v>1961</v>
      </c>
      <c r="N281" s="78" t="s">
        <v>1962</v>
      </c>
      <c r="O281" s="78"/>
      <c r="P281" s="86">
        <v>3.6599999999999997</v>
      </c>
    </row>
    <row r="282" spans="1:16" ht="102" x14ac:dyDescent="0.25">
      <c r="A282" s="84" t="s">
        <v>1969</v>
      </c>
      <c r="B282" s="84" t="s">
        <v>1970</v>
      </c>
      <c r="C282" s="74">
        <v>2017</v>
      </c>
      <c r="D282" s="85">
        <v>4.09</v>
      </c>
      <c r="E282" s="72" t="s">
        <v>1958</v>
      </c>
      <c r="F282" s="76" t="s">
        <v>1959</v>
      </c>
      <c r="G282" s="72" t="s">
        <v>1960</v>
      </c>
      <c r="H282" s="72" t="s">
        <v>1905</v>
      </c>
      <c r="I282" s="72" t="s">
        <v>1893</v>
      </c>
      <c r="J282" s="77" t="s">
        <v>1893</v>
      </c>
      <c r="K282" s="77"/>
      <c r="L282" s="77"/>
      <c r="M282" s="78" t="s">
        <v>1961</v>
      </c>
      <c r="N282" s="78" t="s">
        <v>1962</v>
      </c>
      <c r="O282" s="78"/>
      <c r="P282" s="86">
        <v>4.5</v>
      </c>
    </row>
    <row r="283" spans="1:16" ht="102" x14ac:dyDescent="0.25">
      <c r="A283" s="84" t="s">
        <v>1971</v>
      </c>
      <c r="B283" s="84" t="s">
        <v>1972</v>
      </c>
      <c r="C283" s="74">
        <v>2017</v>
      </c>
      <c r="D283" s="85">
        <v>4.47</v>
      </c>
      <c r="E283" s="72" t="s">
        <v>1958</v>
      </c>
      <c r="F283" s="76" t="s">
        <v>1959</v>
      </c>
      <c r="G283" s="72" t="s">
        <v>1960</v>
      </c>
      <c r="H283" s="72" t="s">
        <v>1905</v>
      </c>
      <c r="I283" s="72" t="s">
        <v>1893</v>
      </c>
      <c r="J283" s="77" t="s">
        <v>1893</v>
      </c>
      <c r="K283" s="77"/>
      <c r="L283" s="77"/>
      <c r="M283" s="78" t="s">
        <v>1961</v>
      </c>
      <c r="N283" s="78" t="s">
        <v>1962</v>
      </c>
      <c r="O283" s="78"/>
      <c r="P283" s="86">
        <v>4.88</v>
      </c>
    </row>
    <row r="284" spans="1:16" ht="102" x14ac:dyDescent="0.25">
      <c r="A284" s="84" t="s">
        <v>1973</v>
      </c>
      <c r="B284" s="84" t="s">
        <v>1974</v>
      </c>
      <c r="C284" s="74">
        <v>2017</v>
      </c>
      <c r="D284" s="85">
        <v>4.47</v>
      </c>
      <c r="E284" s="72" t="s">
        <v>1958</v>
      </c>
      <c r="F284" s="76" t="s">
        <v>1959</v>
      </c>
      <c r="G284" s="72" t="s">
        <v>1960</v>
      </c>
      <c r="H284" s="72" t="s">
        <v>1905</v>
      </c>
      <c r="I284" s="72" t="s">
        <v>1893</v>
      </c>
      <c r="J284" s="77" t="s">
        <v>1893</v>
      </c>
      <c r="K284" s="77"/>
      <c r="L284" s="77"/>
      <c r="M284" s="78" t="s">
        <v>1961</v>
      </c>
      <c r="N284" s="78" t="s">
        <v>1962</v>
      </c>
      <c r="O284" s="78"/>
      <c r="P284" s="86">
        <v>4.88</v>
      </c>
    </row>
    <row r="285" spans="1:16" ht="102" x14ac:dyDescent="0.25">
      <c r="A285" s="84" t="s">
        <v>1975</v>
      </c>
      <c r="B285" s="84" t="s">
        <v>1976</v>
      </c>
      <c r="C285" s="74">
        <v>2017</v>
      </c>
      <c r="D285" s="85">
        <v>4.47</v>
      </c>
      <c r="E285" s="72" t="s">
        <v>1958</v>
      </c>
      <c r="F285" s="76" t="s">
        <v>1959</v>
      </c>
      <c r="G285" s="72" t="s">
        <v>1960</v>
      </c>
      <c r="H285" s="72" t="s">
        <v>1905</v>
      </c>
      <c r="I285" s="72" t="s">
        <v>1893</v>
      </c>
      <c r="J285" s="77" t="s">
        <v>1893</v>
      </c>
      <c r="K285" s="77"/>
      <c r="L285" s="77"/>
      <c r="M285" s="78" t="s">
        <v>1961</v>
      </c>
      <c r="N285" s="78" t="s">
        <v>1962</v>
      </c>
      <c r="O285" s="78"/>
      <c r="P285" s="86">
        <v>4.72</v>
      </c>
    </row>
    <row r="286" spans="1:16" ht="102" x14ac:dyDescent="0.25">
      <c r="A286" s="84" t="s">
        <v>1977</v>
      </c>
      <c r="B286" s="84" t="s">
        <v>1978</v>
      </c>
      <c r="C286" s="74">
        <v>2017</v>
      </c>
      <c r="D286" s="85">
        <v>3.67</v>
      </c>
      <c r="E286" s="72" t="s">
        <v>1958</v>
      </c>
      <c r="F286" s="76" t="s">
        <v>1959</v>
      </c>
      <c r="G286" s="72" t="s">
        <v>1960</v>
      </c>
      <c r="H286" s="72" t="s">
        <v>1905</v>
      </c>
      <c r="I286" s="72" t="s">
        <v>1893</v>
      </c>
      <c r="J286" s="77" t="s">
        <v>1893</v>
      </c>
      <c r="K286" s="77"/>
      <c r="L286" s="77"/>
      <c r="M286" s="78" t="s">
        <v>1961</v>
      </c>
      <c r="N286" s="78" t="s">
        <v>1962</v>
      </c>
      <c r="O286" s="78"/>
      <c r="P286" s="86">
        <v>3.9</v>
      </c>
    </row>
    <row r="287" spans="1:16" ht="102" x14ac:dyDescent="0.25">
      <c r="A287" s="84" t="s">
        <v>1979</v>
      </c>
      <c r="B287" s="84" t="s">
        <v>1980</v>
      </c>
      <c r="C287" s="74">
        <v>2017</v>
      </c>
      <c r="D287" s="85">
        <v>4.47</v>
      </c>
      <c r="E287" s="72" t="s">
        <v>1958</v>
      </c>
      <c r="F287" s="76" t="s">
        <v>1959</v>
      </c>
      <c r="G287" s="72" t="s">
        <v>1960</v>
      </c>
      <c r="H287" s="72" t="s">
        <v>1905</v>
      </c>
      <c r="I287" s="72" t="s">
        <v>1893</v>
      </c>
      <c r="J287" s="77" t="s">
        <v>1893</v>
      </c>
      <c r="K287" s="77"/>
      <c r="L287" s="77"/>
      <c r="M287" s="78" t="s">
        <v>1961</v>
      </c>
      <c r="N287" s="78" t="s">
        <v>1962</v>
      </c>
      <c r="O287" s="78"/>
      <c r="P287" s="86">
        <v>4.88</v>
      </c>
    </row>
    <row r="288" spans="1:16" ht="102" x14ac:dyDescent="0.25">
      <c r="A288" s="84" t="s">
        <v>1981</v>
      </c>
      <c r="B288" s="84" t="s">
        <v>1982</v>
      </c>
      <c r="C288" s="74">
        <v>2017</v>
      </c>
      <c r="D288" s="85">
        <v>3.09</v>
      </c>
      <c r="E288" s="72" t="s">
        <v>1958</v>
      </c>
      <c r="F288" s="76" t="s">
        <v>1959</v>
      </c>
      <c r="G288" s="72" t="s">
        <v>1960</v>
      </c>
      <c r="H288" s="72" t="s">
        <v>1905</v>
      </c>
      <c r="I288" s="72" t="s">
        <v>1893</v>
      </c>
      <c r="J288" s="77" t="s">
        <v>1893</v>
      </c>
      <c r="K288" s="77"/>
      <c r="L288" s="77"/>
      <c r="M288" s="78" t="s">
        <v>1961</v>
      </c>
      <c r="N288" s="78" t="s">
        <v>1962</v>
      </c>
      <c r="O288" s="78"/>
      <c r="P288" s="86">
        <v>3.87</v>
      </c>
    </row>
    <row r="289" spans="1:16" ht="102" x14ac:dyDescent="0.25">
      <c r="A289" s="84" t="s">
        <v>1983</v>
      </c>
      <c r="B289" s="84" t="s">
        <v>1984</v>
      </c>
      <c r="C289" s="74">
        <v>2017</v>
      </c>
      <c r="D289" s="85">
        <v>3.09</v>
      </c>
      <c r="E289" s="72" t="s">
        <v>1958</v>
      </c>
      <c r="F289" s="76" t="s">
        <v>1959</v>
      </c>
      <c r="G289" s="72" t="s">
        <v>1960</v>
      </c>
      <c r="H289" s="72" t="s">
        <v>1905</v>
      </c>
      <c r="I289" s="72" t="s">
        <v>1893</v>
      </c>
      <c r="J289" s="77" t="s">
        <v>1893</v>
      </c>
      <c r="K289" s="77"/>
      <c r="L289" s="77"/>
      <c r="M289" s="78" t="s">
        <v>1961</v>
      </c>
      <c r="N289" s="78" t="s">
        <v>1962</v>
      </c>
      <c r="O289" s="78"/>
      <c r="P289" s="86">
        <v>3.87</v>
      </c>
    </row>
    <row r="290" spans="1:16" ht="102" x14ac:dyDescent="0.25">
      <c r="A290" s="84" t="s">
        <v>1985</v>
      </c>
      <c r="B290" s="84" t="s">
        <v>1986</v>
      </c>
      <c r="C290" s="74">
        <v>2017</v>
      </c>
      <c r="D290" s="85">
        <v>4.09</v>
      </c>
      <c r="E290" s="72" t="s">
        <v>1958</v>
      </c>
      <c r="F290" s="76" t="s">
        <v>1959</v>
      </c>
      <c r="G290" s="72" t="s">
        <v>1960</v>
      </c>
      <c r="H290" s="72" t="s">
        <v>1905</v>
      </c>
      <c r="I290" s="72" t="s">
        <v>1893</v>
      </c>
      <c r="J290" s="77" t="s">
        <v>1893</v>
      </c>
      <c r="K290" s="77"/>
      <c r="L290" s="77"/>
      <c r="M290" s="78" t="s">
        <v>1961</v>
      </c>
      <c r="N290" s="78" t="s">
        <v>1962</v>
      </c>
      <c r="O290" s="78"/>
      <c r="P290" s="86">
        <v>4.74</v>
      </c>
    </row>
    <row r="291" spans="1:16" ht="102" x14ac:dyDescent="0.25">
      <c r="A291" s="84" t="s">
        <v>1987</v>
      </c>
      <c r="B291" s="84" t="s">
        <v>1988</v>
      </c>
      <c r="C291" s="74">
        <v>2017</v>
      </c>
      <c r="D291" s="85">
        <v>4.47</v>
      </c>
      <c r="E291" s="72" t="s">
        <v>1958</v>
      </c>
      <c r="F291" s="76" t="s">
        <v>1959</v>
      </c>
      <c r="G291" s="72" t="s">
        <v>1960</v>
      </c>
      <c r="H291" s="72" t="s">
        <v>1905</v>
      </c>
      <c r="I291" s="72" t="s">
        <v>1893</v>
      </c>
      <c r="J291" s="77" t="s">
        <v>1893</v>
      </c>
      <c r="K291" s="77"/>
      <c r="L291" s="77"/>
      <c r="M291" s="78" t="s">
        <v>1961</v>
      </c>
      <c r="N291" s="78" t="s">
        <v>1962</v>
      </c>
      <c r="O291" s="78"/>
      <c r="P291" s="86">
        <v>5.12</v>
      </c>
    </row>
    <row r="292" spans="1:16" ht="102" x14ac:dyDescent="0.25">
      <c r="A292" s="84" t="s">
        <v>1989</v>
      </c>
      <c r="B292" s="84" t="s">
        <v>1990</v>
      </c>
      <c r="C292" s="74">
        <v>2017</v>
      </c>
      <c r="D292" s="85">
        <v>4.47</v>
      </c>
      <c r="E292" s="72" t="s">
        <v>1958</v>
      </c>
      <c r="F292" s="76" t="s">
        <v>1959</v>
      </c>
      <c r="G292" s="72" t="s">
        <v>1960</v>
      </c>
      <c r="H292" s="72" t="s">
        <v>1905</v>
      </c>
      <c r="I292" s="72" t="s">
        <v>1893</v>
      </c>
      <c r="J292" s="77" t="s">
        <v>1893</v>
      </c>
      <c r="K292" s="77"/>
      <c r="L292" s="77"/>
      <c r="M292" s="78" t="s">
        <v>1961</v>
      </c>
      <c r="N292" s="78" t="s">
        <v>1962</v>
      </c>
      <c r="O292" s="78"/>
      <c r="P292" s="86">
        <v>5.12</v>
      </c>
    </row>
    <row r="293" spans="1:16" ht="102" x14ac:dyDescent="0.25">
      <c r="A293" s="84" t="s">
        <v>1991</v>
      </c>
      <c r="B293" s="84" t="s">
        <v>1992</v>
      </c>
      <c r="C293" s="74">
        <v>2017</v>
      </c>
      <c r="D293" s="85">
        <v>4.47</v>
      </c>
      <c r="E293" s="72" t="s">
        <v>1958</v>
      </c>
      <c r="F293" s="76" t="s">
        <v>1959</v>
      </c>
      <c r="G293" s="72" t="s">
        <v>1960</v>
      </c>
      <c r="H293" s="72" t="s">
        <v>1905</v>
      </c>
      <c r="I293" s="72" t="s">
        <v>1893</v>
      </c>
      <c r="J293" s="77" t="s">
        <v>1893</v>
      </c>
      <c r="K293" s="77"/>
      <c r="L293" s="77"/>
      <c r="M293" s="78" t="s">
        <v>1961</v>
      </c>
      <c r="N293" s="78" t="s">
        <v>1962</v>
      </c>
      <c r="O293" s="78"/>
      <c r="P293" s="86">
        <v>4.88</v>
      </c>
    </row>
    <row r="294" spans="1:16" ht="102" x14ac:dyDescent="0.25">
      <c r="A294" s="84" t="s">
        <v>1993</v>
      </c>
      <c r="B294" s="84" t="s">
        <v>1994</v>
      </c>
      <c r="C294" s="74">
        <v>2017</v>
      </c>
      <c r="D294" s="85">
        <v>3.67</v>
      </c>
      <c r="E294" s="72" t="s">
        <v>1958</v>
      </c>
      <c r="F294" s="76" t="s">
        <v>1959</v>
      </c>
      <c r="G294" s="72" t="s">
        <v>1960</v>
      </c>
      <c r="H294" s="72" t="s">
        <v>1905</v>
      </c>
      <c r="I294" s="72" t="s">
        <v>1893</v>
      </c>
      <c r="J294" s="77" t="s">
        <v>1893</v>
      </c>
      <c r="K294" s="77"/>
      <c r="L294" s="77"/>
      <c r="M294" s="78" t="s">
        <v>1961</v>
      </c>
      <c r="N294" s="78" t="s">
        <v>1962</v>
      </c>
      <c r="O294" s="78"/>
      <c r="P294" s="86">
        <v>4.07</v>
      </c>
    </row>
    <row r="295" spans="1:16" ht="102" x14ac:dyDescent="0.25">
      <c r="A295" s="84" t="s">
        <v>1995</v>
      </c>
      <c r="B295" s="84" t="s">
        <v>1996</v>
      </c>
      <c r="C295" s="74">
        <v>2017</v>
      </c>
      <c r="D295" s="85">
        <v>4.47</v>
      </c>
      <c r="E295" s="72" t="s">
        <v>1958</v>
      </c>
      <c r="F295" s="76" t="s">
        <v>1959</v>
      </c>
      <c r="G295" s="72" t="s">
        <v>1960</v>
      </c>
      <c r="H295" s="72" t="s">
        <v>1905</v>
      </c>
      <c r="I295" s="72" t="s">
        <v>1893</v>
      </c>
      <c r="J295" s="77" t="s">
        <v>1893</v>
      </c>
      <c r="K295" s="77"/>
      <c r="L295" s="77"/>
      <c r="M295" s="78" t="s">
        <v>1961</v>
      </c>
      <c r="N295" s="78" t="s">
        <v>1962</v>
      </c>
      <c r="O295" s="78"/>
      <c r="P295" s="86">
        <v>5.12</v>
      </c>
    </row>
    <row r="296" spans="1:16" x14ac:dyDescent="0.25">
      <c r="A296" s="72" t="s">
        <v>1997</v>
      </c>
      <c r="B296" s="72" t="s">
        <v>1998</v>
      </c>
      <c r="C296" s="74">
        <v>2017</v>
      </c>
      <c r="D296" s="81">
        <v>7.4</v>
      </c>
      <c r="E296" s="72" t="s">
        <v>1958</v>
      </c>
      <c r="F296" s="76" t="s">
        <v>1959</v>
      </c>
      <c r="G296" s="72" t="s">
        <v>1960</v>
      </c>
      <c r="H296" s="72" t="s">
        <v>1905</v>
      </c>
      <c r="I296" s="72" t="s">
        <v>1893</v>
      </c>
      <c r="J296" s="77" t="s">
        <v>1893</v>
      </c>
      <c r="K296" s="77"/>
      <c r="L296" s="77"/>
      <c r="M296" s="78" t="s">
        <v>1961</v>
      </c>
      <c r="N296" s="78" t="s">
        <v>1962</v>
      </c>
      <c r="O296" s="78"/>
      <c r="P296" s="86">
        <v>8.32</v>
      </c>
    </row>
    <row r="297" spans="1:16" x14ac:dyDescent="0.25">
      <c r="A297" s="72" t="s">
        <v>1999</v>
      </c>
      <c r="B297" s="72" t="s">
        <v>2000</v>
      </c>
      <c r="C297" s="74">
        <v>2017</v>
      </c>
      <c r="D297" s="81">
        <v>7.4</v>
      </c>
      <c r="E297" s="72" t="s">
        <v>1958</v>
      </c>
      <c r="F297" s="76" t="s">
        <v>1959</v>
      </c>
      <c r="G297" s="72" t="s">
        <v>1960</v>
      </c>
      <c r="H297" s="72" t="s">
        <v>1905</v>
      </c>
      <c r="I297" s="72" t="s">
        <v>1893</v>
      </c>
      <c r="J297" s="77" t="s">
        <v>1893</v>
      </c>
      <c r="K297" s="77"/>
      <c r="L297" s="77"/>
      <c r="M297" s="78" t="s">
        <v>1961</v>
      </c>
      <c r="N297" s="78" t="s">
        <v>1962</v>
      </c>
      <c r="O297" s="78"/>
      <c r="P297" s="86">
        <v>8.32</v>
      </c>
    </row>
    <row r="298" spans="1:16" x14ac:dyDescent="0.25">
      <c r="A298" s="72" t="s">
        <v>2001</v>
      </c>
      <c r="B298" s="72" t="s">
        <v>2002</v>
      </c>
      <c r="C298" s="74">
        <v>2017</v>
      </c>
      <c r="D298" s="81">
        <v>7.4</v>
      </c>
      <c r="E298" s="72" t="s">
        <v>1958</v>
      </c>
      <c r="F298" s="76" t="s">
        <v>1959</v>
      </c>
      <c r="G298" s="72" t="s">
        <v>1960</v>
      </c>
      <c r="H298" s="72" t="s">
        <v>1905</v>
      </c>
      <c r="I298" s="72" t="s">
        <v>1893</v>
      </c>
      <c r="J298" s="77" t="s">
        <v>1893</v>
      </c>
      <c r="K298" s="77"/>
      <c r="L298" s="77"/>
      <c r="M298" s="78" t="s">
        <v>1961</v>
      </c>
      <c r="N298" s="78" t="s">
        <v>1962</v>
      </c>
      <c r="O298" s="78"/>
      <c r="P298" s="86">
        <v>8.32</v>
      </c>
    </row>
    <row r="299" spans="1:16" x14ac:dyDescent="0.25">
      <c r="A299" s="72" t="s">
        <v>2003</v>
      </c>
      <c r="B299" s="72" t="s">
        <v>2004</v>
      </c>
      <c r="C299" s="74">
        <v>2017</v>
      </c>
      <c r="D299" s="81">
        <v>7.4</v>
      </c>
      <c r="E299" s="72" t="s">
        <v>1958</v>
      </c>
      <c r="F299" s="76" t="s">
        <v>1959</v>
      </c>
      <c r="G299" s="72" t="s">
        <v>1960</v>
      </c>
      <c r="H299" s="72" t="s">
        <v>1905</v>
      </c>
      <c r="I299" s="72" t="s">
        <v>1893</v>
      </c>
      <c r="J299" s="77" t="s">
        <v>1893</v>
      </c>
      <c r="K299" s="77"/>
      <c r="L299" s="77"/>
      <c r="M299" s="78" t="s">
        <v>1961</v>
      </c>
      <c r="N299" s="78" t="s">
        <v>1962</v>
      </c>
      <c r="O299" s="78"/>
      <c r="P299" s="86">
        <v>8.32</v>
      </c>
    </row>
    <row r="300" spans="1:16" x14ac:dyDescent="0.25">
      <c r="A300" s="72" t="s">
        <v>2005</v>
      </c>
      <c r="B300" s="72" t="s">
        <v>2006</v>
      </c>
      <c r="C300" s="74">
        <v>2017</v>
      </c>
      <c r="D300" s="81">
        <v>8.81</v>
      </c>
      <c r="E300" s="72" t="s">
        <v>1958</v>
      </c>
      <c r="F300" s="76" t="s">
        <v>1959</v>
      </c>
      <c r="G300" s="72" t="s">
        <v>1960</v>
      </c>
      <c r="H300" s="72" t="s">
        <v>1905</v>
      </c>
      <c r="I300" s="72" t="s">
        <v>1893</v>
      </c>
      <c r="J300" s="77" t="s">
        <v>1893</v>
      </c>
      <c r="K300" s="77"/>
      <c r="L300" s="77"/>
      <c r="M300" s="78" t="s">
        <v>1961</v>
      </c>
      <c r="N300" s="78" t="s">
        <v>1962</v>
      </c>
      <c r="O300" s="78"/>
      <c r="P300" s="86">
        <v>9.6000000000000014</v>
      </c>
    </row>
    <row r="301" spans="1:16" x14ac:dyDescent="0.25">
      <c r="A301" s="72" t="s">
        <v>2007</v>
      </c>
      <c r="B301" s="72" t="s">
        <v>2008</v>
      </c>
      <c r="C301" s="74">
        <v>2017</v>
      </c>
      <c r="D301" s="81">
        <v>8.81</v>
      </c>
      <c r="E301" s="72" t="s">
        <v>1958</v>
      </c>
      <c r="F301" s="76" t="s">
        <v>1959</v>
      </c>
      <c r="G301" s="72" t="s">
        <v>1960</v>
      </c>
      <c r="H301" s="72" t="s">
        <v>1905</v>
      </c>
      <c r="I301" s="72" t="s">
        <v>1893</v>
      </c>
      <c r="J301" s="77" t="s">
        <v>1893</v>
      </c>
      <c r="K301" s="77"/>
      <c r="L301" s="77"/>
      <c r="M301" s="78" t="s">
        <v>1961</v>
      </c>
      <c r="N301" s="78" t="s">
        <v>1962</v>
      </c>
      <c r="O301" s="78"/>
      <c r="P301" s="86">
        <v>9.57</v>
      </c>
    </row>
    <row r="302" spans="1:16" x14ac:dyDescent="0.25">
      <c r="A302" s="72" t="s">
        <v>2009</v>
      </c>
      <c r="B302" s="72" t="s">
        <v>2010</v>
      </c>
      <c r="C302" s="74">
        <v>2017</v>
      </c>
      <c r="D302" s="81">
        <v>8.81</v>
      </c>
      <c r="E302" s="72" t="s">
        <v>1958</v>
      </c>
      <c r="F302" s="76" t="s">
        <v>1959</v>
      </c>
      <c r="G302" s="72" t="s">
        <v>1960</v>
      </c>
      <c r="H302" s="72" t="s">
        <v>1905</v>
      </c>
      <c r="I302" s="72" t="s">
        <v>1893</v>
      </c>
      <c r="J302" s="77" t="s">
        <v>1893</v>
      </c>
      <c r="K302" s="77"/>
      <c r="L302" s="77"/>
      <c r="M302" s="78" t="s">
        <v>1961</v>
      </c>
      <c r="N302" s="78" t="s">
        <v>1962</v>
      </c>
      <c r="O302" s="78"/>
      <c r="P302" s="86">
        <v>9.6000000000000014</v>
      </c>
    </row>
    <row r="303" spans="1:16" x14ac:dyDescent="0.25">
      <c r="A303" s="72" t="s">
        <v>2011</v>
      </c>
      <c r="B303" s="72" t="s">
        <v>2012</v>
      </c>
      <c r="C303" s="74">
        <v>2017</v>
      </c>
      <c r="D303" s="81">
        <v>10.68</v>
      </c>
      <c r="E303" s="72" t="s">
        <v>1958</v>
      </c>
      <c r="F303" s="76" t="s">
        <v>1959</v>
      </c>
      <c r="G303" s="72" t="s">
        <v>1960</v>
      </c>
      <c r="H303" s="72" t="s">
        <v>1905</v>
      </c>
      <c r="I303" s="72" t="s">
        <v>1893</v>
      </c>
      <c r="J303" s="77" t="s">
        <v>1893</v>
      </c>
      <c r="K303" s="77"/>
      <c r="L303" s="77"/>
      <c r="M303" s="78" t="s">
        <v>1961</v>
      </c>
      <c r="N303" s="78" t="s">
        <v>1962</v>
      </c>
      <c r="O303" s="78"/>
      <c r="P303" s="86">
        <v>11.469999999999999</v>
      </c>
    </row>
    <row r="304" spans="1:16" x14ac:dyDescent="0.25">
      <c r="A304" s="72" t="s">
        <v>2013</v>
      </c>
      <c r="B304" s="72" t="s">
        <v>2014</v>
      </c>
      <c r="C304" s="74">
        <v>2017</v>
      </c>
      <c r="D304" s="81">
        <v>7.4</v>
      </c>
      <c r="E304" s="72" t="s">
        <v>1958</v>
      </c>
      <c r="F304" s="76" t="s">
        <v>1959</v>
      </c>
      <c r="G304" s="72" t="s">
        <v>1960</v>
      </c>
      <c r="H304" s="72" t="s">
        <v>1905</v>
      </c>
      <c r="I304" s="72" t="s">
        <v>1893</v>
      </c>
      <c r="J304" s="77" t="s">
        <v>1893</v>
      </c>
      <c r="K304" s="77"/>
      <c r="L304" s="77"/>
      <c r="M304" s="78" t="s">
        <v>1961</v>
      </c>
      <c r="N304" s="78" t="s">
        <v>1962</v>
      </c>
      <c r="O304" s="78"/>
      <c r="P304" s="86">
        <v>8.76</v>
      </c>
    </row>
    <row r="305" spans="1:16" x14ac:dyDescent="0.25">
      <c r="A305" s="72" t="s">
        <v>2015</v>
      </c>
      <c r="B305" s="72" t="s">
        <v>2016</v>
      </c>
      <c r="C305" s="74">
        <v>2017</v>
      </c>
      <c r="D305" s="81">
        <v>7.4</v>
      </c>
      <c r="E305" s="72" t="s">
        <v>1958</v>
      </c>
      <c r="F305" s="76" t="s">
        <v>1959</v>
      </c>
      <c r="G305" s="72" t="s">
        <v>1960</v>
      </c>
      <c r="H305" s="72" t="s">
        <v>1905</v>
      </c>
      <c r="I305" s="72" t="s">
        <v>1893</v>
      </c>
      <c r="J305" s="77" t="s">
        <v>1893</v>
      </c>
      <c r="K305" s="77"/>
      <c r="L305" s="77"/>
      <c r="M305" s="78" t="s">
        <v>1961</v>
      </c>
      <c r="N305" s="78" t="s">
        <v>1962</v>
      </c>
      <c r="O305" s="78"/>
      <c r="P305" s="86">
        <v>8.76</v>
      </c>
    </row>
    <row r="306" spans="1:16" x14ac:dyDescent="0.25">
      <c r="A306" s="72" t="s">
        <v>2017</v>
      </c>
      <c r="B306" s="72" t="s">
        <v>2018</v>
      </c>
      <c r="C306" s="74">
        <v>2017</v>
      </c>
      <c r="D306" s="81">
        <v>7.4</v>
      </c>
      <c r="E306" s="72" t="s">
        <v>1958</v>
      </c>
      <c r="F306" s="76" t="s">
        <v>1959</v>
      </c>
      <c r="G306" s="72" t="s">
        <v>1960</v>
      </c>
      <c r="H306" s="72" t="s">
        <v>1905</v>
      </c>
      <c r="I306" s="72" t="s">
        <v>1893</v>
      </c>
      <c r="J306" s="77" t="s">
        <v>1893</v>
      </c>
      <c r="K306" s="77"/>
      <c r="L306" s="77"/>
      <c r="M306" s="78" t="s">
        <v>1961</v>
      </c>
      <c r="N306" s="78" t="s">
        <v>1962</v>
      </c>
      <c r="O306" s="78"/>
      <c r="P306" s="86">
        <v>8.76</v>
      </c>
    </row>
    <row r="307" spans="1:16" x14ac:dyDescent="0.25">
      <c r="A307" s="72" t="s">
        <v>2019</v>
      </c>
      <c r="B307" s="72" t="s">
        <v>2020</v>
      </c>
      <c r="C307" s="74">
        <v>2017</v>
      </c>
      <c r="D307" s="81">
        <v>7.4</v>
      </c>
      <c r="E307" s="72" t="s">
        <v>1958</v>
      </c>
      <c r="F307" s="76" t="s">
        <v>1959</v>
      </c>
      <c r="G307" s="72" t="s">
        <v>1960</v>
      </c>
      <c r="H307" s="72" t="s">
        <v>1905</v>
      </c>
      <c r="I307" s="72" t="s">
        <v>1893</v>
      </c>
      <c r="J307" s="77" t="s">
        <v>1893</v>
      </c>
      <c r="K307" s="77"/>
      <c r="L307" s="77"/>
      <c r="M307" s="78" t="s">
        <v>1961</v>
      </c>
      <c r="N307" s="78" t="s">
        <v>1962</v>
      </c>
      <c r="O307" s="78"/>
      <c r="P307" s="86">
        <v>8.76</v>
      </c>
    </row>
    <row r="308" spans="1:16" x14ac:dyDescent="0.25">
      <c r="A308" s="72" t="s">
        <v>2021</v>
      </c>
      <c r="B308" s="72" t="s">
        <v>2022</v>
      </c>
      <c r="C308" s="74">
        <v>2017</v>
      </c>
      <c r="D308" s="81">
        <v>8.81</v>
      </c>
      <c r="E308" s="72" t="s">
        <v>1958</v>
      </c>
      <c r="F308" s="76" t="s">
        <v>1959</v>
      </c>
      <c r="G308" s="72" t="s">
        <v>1960</v>
      </c>
      <c r="H308" s="72" t="s">
        <v>1905</v>
      </c>
      <c r="I308" s="72" t="s">
        <v>1893</v>
      </c>
      <c r="J308" s="77" t="s">
        <v>1893</v>
      </c>
      <c r="K308" s="77"/>
      <c r="L308" s="77"/>
      <c r="M308" s="78" t="s">
        <v>1961</v>
      </c>
      <c r="N308" s="78" t="s">
        <v>1962</v>
      </c>
      <c r="O308" s="78"/>
      <c r="P308" s="86">
        <v>9.6000000000000014</v>
      </c>
    </row>
    <row r="309" spans="1:16" x14ac:dyDescent="0.25">
      <c r="A309" s="72" t="s">
        <v>2023</v>
      </c>
      <c r="B309" s="72" t="s">
        <v>2024</v>
      </c>
      <c r="C309" s="74">
        <v>2017</v>
      </c>
      <c r="D309" s="81">
        <v>10.68</v>
      </c>
      <c r="E309" s="72" t="s">
        <v>1958</v>
      </c>
      <c r="F309" s="76" t="s">
        <v>1959</v>
      </c>
      <c r="G309" s="72" t="s">
        <v>1960</v>
      </c>
      <c r="H309" s="72" t="s">
        <v>1905</v>
      </c>
      <c r="I309" s="72" t="s">
        <v>1893</v>
      </c>
      <c r="J309" s="77" t="s">
        <v>1893</v>
      </c>
      <c r="K309" s="77"/>
      <c r="L309" s="77"/>
      <c r="M309" s="78" t="s">
        <v>1961</v>
      </c>
      <c r="N309" s="78" t="s">
        <v>1962</v>
      </c>
      <c r="O309" s="78"/>
      <c r="P309" s="86">
        <v>11.469999999999999</v>
      </c>
    </row>
    <row r="310" spans="1:16" x14ac:dyDescent="0.25">
      <c r="A310" s="72" t="s">
        <v>2025</v>
      </c>
      <c r="B310" s="72" t="s">
        <v>2026</v>
      </c>
      <c r="C310" s="74">
        <v>2017</v>
      </c>
      <c r="D310" s="81">
        <v>10.68</v>
      </c>
      <c r="E310" s="72" t="s">
        <v>1958</v>
      </c>
      <c r="F310" s="76" t="s">
        <v>1959</v>
      </c>
      <c r="G310" s="72" t="s">
        <v>1960</v>
      </c>
      <c r="H310" s="72" t="s">
        <v>1905</v>
      </c>
      <c r="I310" s="72" t="s">
        <v>1893</v>
      </c>
      <c r="J310" s="77" t="s">
        <v>1893</v>
      </c>
      <c r="K310" s="77"/>
      <c r="L310" s="77"/>
      <c r="M310" s="78" t="s">
        <v>1961</v>
      </c>
      <c r="N310" s="78" t="s">
        <v>1962</v>
      </c>
      <c r="O310" s="78"/>
      <c r="P310" s="86">
        <v>11.469999999999999</v>
      </c>
    </row>
    <row r="311" spans="1:16" x14ac:dyDescent="0.25">
      <c r="A311" s="72" t="s">
        <v>2027</v>
      </c>
      <c r="B311" s="72" t="s">
        <v>2028</v>
      </c>
      <c r="C311" s="74">
        <v>2017</v>
      </c>
      <c r="D311" s="81">
        <v>7.4</v>
      </c>
      <c r="E311" s="72" t="s">
        <v>1958</v>
      </c>
      <c r="F311" s="76" t="s">
        <v>1959</v>
      </c>
      <c r="G311" s="72" t="s">
        <v>1960</v>
      </c>
      <c r="H311" s="72" t="s">
        <v>1905</v>
      </c>
      <c r="I311" s="72" t="s">
        <v>1893</v>
      </c>
      <c r="J311" s="77" t="s">
        <v>1893</v>
      </c>
      <c r="K311" s="77"/>
      <c r="L311" s="77"/>
      <c r="M311" s="78" t="s">
        <v>1961</v>
      </c>
      <c r="N311" s="78" t="s">
        <v>1962</v>
      </c>
      <c r="O311" s="78"/>
      <c r="P311" s="86">
        <v>8.56</v>
      </c>
    </row>
    <row r="312" spans="1:16" x14ac:dyDescent="0.25">
      <c r="A312" s="72" t="s">
        <v>2029</v>
      </c>
      <c r="B312" s="72" t="s">
        <v>2030</v>
      </c>
      <c r="C312" s="74">
        <v>2017</v>
      </c>
      <c r="D312" s="81">
        <v>7.4</v>
      </c>
      <c r="E312" s="72" t="s">
        <v>1958</v>
      </c>
      <c r="F312" s="76" t="s">
        <v>1959</v>
      </c>
      <c r="G312" s="72" t="s">
        <v>1960</v>
      </c>
      <c r="H312" s="72" t="s">
        <v>1905</v>
      </c>
      <c r="I312" s="72" t="s">
        <v>1893</v>
      </c>
      <c r="J312" s="77" t="s">
        <v>1893</v>
      </c>
      <c r="K312" s="77"/>
      <c r="L312" s="77"/>
      <c r="M312" s="78" t="s">
        <v>1961</v>
      </c>
      <c r="N312" s="78" t="s">
        <v>1962</v>
      </c>
      <c r="O312" s="78"/>
      <c r="P312" s="86">
        <v>8.56</v>
      </c>
    </row>
    <row r="313" spans="1:16" x14ac:dyDescent="0.25">
      <c r="A313" s="72" t="s">
        <v>2031</v>
      </c>
      <c r="B313" s="72" t="s">
        <v>2032</v>
      </c>
      <c r="C313" s="74">
        <v>2017</v>
      </c>
      <c r="D313" s="81">
        <v>8.81</v>
      </c>
      <c r="E313" s="72" t="s">
        <v>1958</v>
      </c>
      <c r="F313" s="76" t="s">
        <v>1959</v>
      </c>
      <c r="G313" s="72" t="s">
        <v>1960</v>
      </c>
      <c r="H313" s="72" t="s">
        <v>1905</v>
      </c>
      <c r="I313" s="72" t="s">
        <v>1893</v>
      </c>
      <c r="J313" s="77" t="s">
        <v>1893</v>
      </c>
      <c r="K313" s="77"/>
      <c r="L313" s="77"/>
      <c r="M313" s="78" t="s">
        <v>1961</v>
      </c>
      <c r="N313" s="78" t="s">
        <v>1962</v>
      </c>
      <c r="O313" s="78"/>
      <c r="P313" s="86">
        <v>9.9700000000000006</v>
      </c>
    </row>
    <row r="314" spans="1:16" x14ac:dyDescent="0.25">
      <c r="A314" s="72" t="s">
        <v>2033</v>
      </c>
      <c r="B314" s="72" t="s">
        <v>2034</v>
      </c>
      <c r="C314" s="74">
        <v>2017</v>
      </c>
      <c r="D314" s="81">
        <v>7.4</v>
      </c>
      <c r="E314" s="72" t="s">
        <v>1958</v>
      </c>
      <c r="F314" s="76" t="s">
        <v>1959</v>
      </c>
      <c r="G314" s="72" t="s">
        <v>1960</v>
      </c>
      <c r="H314" s="72" t="s">
        <v>1905</v>
      </c>
      <c r="I314" s="72" t="s">
        <v>1893</v>
      </c>
      <c r="J314" s="77" t="s">
        <v>1893</v>
      </c>
      <c r="K314" s="77"/>
      <c r="L314" s="77"/>
      <c r="M314" s="78" t="s">
        <v>1961</v>
      </c>
      <c r="N314" s="78" t="s">
        <v>1962</v>
      </c>
      <c r="O314" s="78"/>
      <c r="P314" s="86">
        <v>8.56</v>
      </c>
    </row>
    <row r="315" spans="1:16" x14ac:dyDescent="0.25">
      <c r="A315" s="72" t="s">
        <v>2035</v>
      </c>
      <c r="B315" s="72" t="s">
        <v>2036</v>
      </c>
      <c r="C315" s="74">
        <v>2017</v>
      </c>
      <c r="D315" s="81">
        <v>7.4</v>
      </c>
      <c r="E315" s="72" t="s">
        <v>1958</v>
      </c>
      <c r="F315" s="76" t="s">
        <v>1959</v>
      </c>
      <c r="G315" s="72" t="s">
        <v>1960</v>
      </c>
      <c r="H315" s="72" t="s">
        <v>1905</v>
      </c>
      <c r="I315" s="72" t="s">
        <v>1893</v>
      </c>
      <c r="J315" s="77" t="s">
        <v>1893</v>
      </c>
      <c r="K315" s="77"/>
      <c r="L315" s="77"/>
      <c r="M315" s="78" t="s">
        <v>1961</v>
      </c>
      <c r="N315" s="78" t="s">
        <v>1962</v>
      </c>
      <c r="O315" s="78"/>
      <c r="P315" s="86">
        <v>8.56</v>
      </c>
    </row>
    <row r="316" spans="1:16" x14ac:dyDescent="0.25">
      <c r="A316" s="72" t="s">
        <v>2037</v>
      </c>
      <c r="B316" s="72" t="s">
        <v>2038</v>
      </c>
      <c r="C316" s="74">
        <v>2017</v>
      </c>
      <c r="D316" s="81">
        <v>7.4</v>
      </c>
      <c r="E316" s="72" t="s">
        <v>1958</v>
      </c>
      <c r="F316" s="76" t="s">
        <v>1959</v>
      </c>
      <c r="G316" s="72" t="s">
        <v>1960</v>
      </c>
      <c r="H316" s="72" t="s">
        <v>1905</v>
      </c>
      <c r="I316" s="72" t="s">
        <v>1893</v>
      </c>
      <c r="J316" s="77" t="s">
        <v>1893</v>
      </c>
      <c r="K316" s="77"/>
      <c r="L316" s="77"/>
      <c r="M316" s="78" t="s">
        <v>1961</v>
      </c>
      <c r="N316" s="78" t="s">
        <v>1962</v>
      </c>
      <c r="O316" s="78"/>
      <c r="P316" s="86">
        <v>8.56</v>
      </c>
    </row>
    <row r="317" spans="1:16" x14ac:dyDescent="0.25">
      <c r="A317" s="72" t="s">
        <v>2039</v>
      </c>
      <c r="B317" s="72" t="s">
        <v>2040</v>
      </c>
      <c r="C317" s="74">
        <v>2017</v>
      </c>
      <c r="D317" s="81">
        <v>7.4</v>
      </c>
      <c r="E317" s="72" t="s">
        <v>1958</v>
      </c>
      <c r="F317" s="76" t="s">
        <v>1959</v>
      </c>
      <c r="G317" s="72" t="s">
        <v>1960</v>
      </c>
      <c r="H317" s="72" t="s">
        <v>1905</v>
      </c>
      <c r="I317" s="72" t="s">
        <v>1893</v>
      </c>
      <c r="J317" s="77" t="s">
        <v>1893</v>
      </c>
      <c r="K317" s="77"/>
      <c r="L317" s="77"/>
      <c r="M317" s="78" t="s">
        <v>1961</v>
      </c>
      <c r="N317" s="78" t="s">
        <v>1962</v>
      </c>
      <c r="O317" s="78"/>
      <c r="P317" s="86">
        <v>8.56</v>
      </c>
    </row>
    <row r="318" spans="1:16" x14ac:dyDescent="0.25">
      <c r="A318" s="72" t="s">
        <v>2041</v>
      </c>
      <c r="B318" s="72" t="s">
        <v>2042</v>
      </c>
      <c r="C318" s="74">
        <v>2017</v>
      </c>
      <c r="D318" s="81">
        <v>8.81</v>
      </c>
      <c r="E318" s="72" t="s">
        <v>1958</v>
      </c>
      <c r="F318" s="76" t="s">
        <v>1959</v>
      </c>
      <c r="G318" s="72" t="s">
        <v>1960</v>
      </c>
      <c r="H318" s="72" t="s">
        <v>1905</v>
      </c>
      <c r="I318" s="72" t="s">
        <v>1893</v>
      </c>
      <c r="J318" s="77" t="s">
        <v>1893</v>
      </c>
      <c r="K318" s="77"/>
      <c r="L318" s="77"/>
      <c r="M318" s="78" t="s">
        <v>1961</v>
      </c>
      <c r="N318" s="78" t="s">
        <v>1962</v>
      </c>
      <c r="O318" s="78"/>
      <c r="P318" s="86">
        <v>9.9700000000000006</v>
      </c>
    </row>
    <row r="319" spans="1:16" x14ac:dyDescent="0.25">
      <c r="A319" s="72" t="s">
        <v>2043</v>
      </c>
      <c r="B319" s="72" t="s">
        <v>2044</v>
      </c>
      <c r="C319" s="74">
        <v>2017</v>
      </c>
      <c r="D319" s="81">
        <v>10.68</v>
      </c>
      <c r="E319" s="72" t="s">
        <v>1958</v>
      </c>
      <c r="F319" s="76" t="s">
        <v>1959</v>
      </c>
      <c r="G319" s="72" t="s">
        <v>1960</v>
      </c>
      <c r="H319" s="72" t="s">
        <v>1905</v>
      </c>
      <c r="I319" s="72" t="s">
        <v>1893</v>
      </c>
      <c r="J319" s="77" t="s">
        <v>1893</v>
      </c>
      <c r="K319" s="77"/>
      <c r="L319" s="77"/>
      <c r="M319" s="78" t="s">
        <v>1961</v>
      </c>
      <c r="N319" s="78" t="s">
        <v>1962</v>
      </c>
      <c r="O319" s="78"/>
      <c r="P319" s="86">
        <v>11.84</v>
      </c>
    </row>
    <row r="320" spans="1:16" x14ac:dyDescent="0.25">
      <c r="A320" s="72" t="s">
        <v>2097</v>
      </c>
      <c r="B320" s="88" t="s">
        <v>2098</v>
      </c>
      <c r="C320" s="74">
        <v>2017</v>
      </c>
      <c r="D320" s="81">
        <v>14.61</v>
      </c>
      <c r="E320" s="72" t="s">
        <v>1958</v>
      </c>
      <c r="F320" s="76" t="s">
        <v>1959</v>
      </c>
      <c r="G320" s="72" t="s">
        <v>2099</v>
      </c>
      <c r="H320" s="72" t="s">
        <v>1905</v>
      </c>
      <c r="I320" s="72" t="s">
        <v>1893</v>
      </c>
      <c r="J320" s="77" t="s">
        <v>1893</v>
      </c>
      <c r="K320" s="77"/>
      <c r="L320" s="77"/>
      <c r="M320" s="78" t="s">
        <v>1961</v>
      </c>
      <c r="N320" s="78" t="s">
        <v>1962</v>
      </c>
      <c r="O320" s="78"/>
      <c r="P320" s="80">
        <v>14.61</v>
      </c>
    </row>
    <row r="321" spans="1:16" x14ac:dyDescent="0.25">
      <c r="A321" s="72" t="s">
        <v>2100</v>
      </c>
      <c r="B321" s="72" t="s">
        <v>2101</v>
      </c>
      <c r="C321" s="74">
        <v>2017</v>
      </c>
      <c r="D321" s="81">
        <v>5.77</v>
      </c>
      <c r="E321" s="72" t="s">
        <v>1831</v>
      </c>
      <c r="F321" s="76" t="s">
        <v>1832</v>
      </c>
      <c r="G321" s="72" t="s">
        <v>1909</v>
      </c>
      <c r="H321" s="72" t="s">
        <v>1905</v>
      </c>
      <c r="I321" s="72" t="s">
        <v>1893</v>
      </c>
      <c r="J321" s="77" t="s">
        <v>1893</v>
      </c>
      <c r="K321" s="77"/>
      <c r="L321" s="77"/>
      <c r="M321" s="78" t="s">
        <v>1961</v>
      </c>
      <c r="N321" s="78" t="s">
        <v>1962</v>
      </c>
      <c r="O321" s="78"/>
      <c r="P321" s="86">
        <v>6.4899999999999993</v>
      </c>
    </row>
    <row r="322" spans="1:16" x14ac:dyDescent="0.25">
      <c r="A322" s="72" t="s">
        <v>2102</v>
      </c>
      <c r="B322" s="72" t="s">
        <v>2103</v>
      </c>
      <c r="C322" s="74">
        <v>2017</v>
      </c>
      <c r="D322" s="81">
        <v>5.77</v>
      </c>
      <c r="E322" s="72" t="s">
        <v>1831</v>
      </c>
      <c r="F322" s="76" t="s">
        <v>1832</v>
      </c>
      <c r="G322" s="72" t="s">
        <v>1909</v>
      </c>
      <c r="H322" s="72" t="s">
        <v>1905</v>
      </c>
      <c r="I322" s="72" t="s">
        <v>1893</v>
      </c>
      <c r="J322" s="77" t="s">
        <v>1893</v>
      </c>
      <c r="K322" s="77"/>
      <c r="L322" s="77"/>
      <c r="M322" s="78" t="s">
        <v>1961</v>
      </c>
      <c r="N322" s="78" t="s">
        <v>1962</v>
      </c>
      <c r="O322" s="78"/>
      <c r="P322" s="86">
        <v>6.4899999999999993</v>
      </c>
    </row>
    <row r="323" spans="1:16" x14ac:dyDescent="0.25">
      <c r="A323" s="72" t="s">
        <v>2104</v>
      </c>
      <c r="B323" s="72" t="s">
        <v>2105</v>
      </c>
      <c r="C323" s="74">
        <v>2017</v>
      </c>
      <c r="D323" s="81">
        <v>5.77</v>
      </c>
      <c r="E323" s="72" t="s">
        <v>1831</v>
      </c>
      <c r="F323" s="76" t="s">
        <v>1832</v>
      </c>
      <c r="G323" s="72" t="s">
        <v>1909</v>
      </c>
      <c r="H323" s="72" t="s">
        <v>1905</v>
      </c>
      <c r="I323" s="72" t="s">
        <v>1893</v>
      </c>
      <c r="J323" s="77" t="s">
        <v>1893</v>
      </c>
      <c r="K323" s="77"/>
      <c r="L323" s="77"/>
      <c r="M323" s="78" t="s">
        <v>1961</v>
      </c>
      <c r="N323" s="78" t="s">
        <v>1962</v>
      </c>
      <c r="O323" s="78"/>
      <c r="P323" s="86">
        <v>6.4899999999999993</v>
      </c>
    </row>
    <row r="324" spans="1:16" x14ac:dyDescent="0.25">
      <c r="A324" s="72" t="s">
        <v>2106</v>
      </c>
      <c r="B324" s="72" t="s">
        <v>2107</v>
      </c>
      <c r="C324" s="74">
        <v>2017</v>
      </c>
      <c r="D324" s="81">
        <v>5.77</v>
      </c>
      <c r="E324" s="72" t="s">
        <v>1831</v>
      </c>
      <c r="F324" s="76" t="s">
        <v>1832</v>
      </c>
      <c r="G324" s="72" t="s">
        <v>1909</v>
      </c>
      <c r="H324" s="72" t="s">
        <v>1905</v>
      </c>
      <c r="I324" s="72" t="s">
        <v>1893</v>
      </c>
      <c r="J324" s="77" t="s">
        <v>1893</v>
      </c>
      <c r="K324" s="77"/>
      <c r="L324" s="77"/>
      <c r="M324" s="78" t="s">
        <v>1961</v>
      </c>
      <c r="N324" s="78" t="s">
        <v>1962</v>
      </c>
      <c r="O324" s="78"/>
      <c r="P324" s="86">
        <v>6.4899999999999993</v>
      </c>
    </row>
    <row r="325" spans="1:16" x14ac:dyDescent="0.25">
      <c r="A325" s="72" t="s">
        <v>2108</v>
      </c>
      <c r="B325" s="72" t="s">
        <v>2109</v>
      </c>
      <c r="C325" s="74">
        <v>2017</v>
      </c>
      <c r="D325" s="81">
        <v>6.87</v>
      </c>
      <c r="E325" s="72" t="s">
        <v>1831</v>
      </c>
      <c r="F325" s="76" t="s">
        <v>1832</v>
      </c>
      <c r="G325" s="72" t="s">
        <v>1909</v>
      </c>
      <c r="H325" s="72" t="s">
        <v>1905</v>
      </c>
      <c r="I325" s="72" t="s">
        <v>1893</v>
      </c>
      <c r="J325" s="77" t="s">
        <v>1893</v>
      </c>
      <c r="K325" s="77"/>
      <c r="L325" s="77"/>
      <c r="M325" s="78" t="s">
        <v>1961</v>
      </c>
      <c r="N325" s="78" t="s">
        <v>1962</v>
      </c>
      <c r="O325" s="78"/>
      <c r="P325" s="86">
        <v>7.67</v>
      </c>
    </row>
    <row r="326" spans="1:16" x14ac:dyDescent="0.25">
      <c r="A326" s="72" t="s">
        <v>2110</v>
      </c>
      <c r="B326" s="72" t="s">
        <v>2111</v>
      </c>
      <c r="C326" s="74">
        <v>2017</v>
      </c>
      <c r="D326" s="81">
        <v>6.87</v>
      </c>
      <c r="E326" s="72" t="s">
        <v>1831</v>
      </c>
      <c r="F326" s="76" t="s">
        <v>1832</v>
      </c>
      <c r="G326" s="72" t="s">
        <v>1909</v>
      </c>
      <c r="H326" s="72" t="s">
        <v>1905</v>
      </c>
      <c r="I326" s="72" t="s">
        <v>1893</v>
      </c>
      <c r="J326" s="77" t="s">
        <v>1893</v>
      </c>
      <c r="K326" s="77"/>
      <c r="L326" s="77"/>
      <c r="M326" s="78" t="s">
        <v>1961</v>
      </c>
      <c r="N326" s="78" t="s">
        <v>1962</v>
      </c>
      <c r="O326" s="78"/>
      <c r="P326" s="86">
        <v>7.63</v>
      </c>
    </row>
    <row r="327" spans="1:16" x14ac:dyDescent="0.25">
      <c r="A327" s="72" t="s">
        <v>2112</v>
      </c>
      <c r="B327" s="72" t="s">
        <v>2113</v>
      </c>
      <c r="C327" s="74">
        <v>2017</v>
      </c>
      <c r="D327" s="81">
        <v>6.87</v>
      </c>
      <c r="E327" s="72" t="s">
        <v>1831</v>
      </c>
      <c r="F327" s="76" t="s">
        <v>1832</v>
      </c>
      <c r="G327" s="72" t="s">
        <v>1909</v>
      </c>
      <c r="H327" s="72" t="s">
        <v>1905</v>
      </c>
      <c r="I327" s="72" t="s">
        <v>1893</v>
      </c>
      <c r="J327" s="77" t="s">
        <v>1893</v>
      </c>
      <c r="K327" s="77"/>
      <c r="L327" s="77"/>
      <c r="M327" s="78" t="s">
        <v>1961</v>
      </c>
      <c r="N327" s="78" t="s">
        <v>1962</v>
      </c>
      <c r="O327" s="78"/>
      <c r="P327" s="86">
        <v>7.67</v>
      </c>
    </row>
    <row r="328" spans="1:16" x14ac:dyDescent="0.25">
      <c r="A328" s="72" t="s">
        <v>2114</v>
      </c>
      <c r="B328" s="72" t="s">
        <v>2115</v>
      </c>
      <c r="C328" s="74">
        <v>2017</v>
      </c>
      <c r="D328" s="81">
        <v>8.33</v>
      </c>
      <c r="E328" s="72" t="s">
        <v>1831</v>
      </c>
      <c r="F328" s="76" t="s">
        <v>1832</v>
      </c>
      <c r="G328" s="72" t="s">
        <v>1909</v>
      </c>
      <c r="H328" s="72" t="s">
        <v>1905</v>
      </c>
      <c r="I328" s="72" t="s">
        <v>1893</v>
      </c>
      <c r="J328" s="77" t="s">
        <v>1893</v>
      </c>
      <c r="K328" s="77"/>
      <c r="L328" s="77"/>
      <c r="M328" s="78" t="s">
        <v>1961</v>
      </c>
      <c r="N328" s="78" t="s">
        <v>1962</v>
      </c>
      <c r="O328" s="78"/>
      <c r="P328" s="86">
        <v>8.9499999999999993</v>
      </c>
    </row>
    <row r="329" spans="1:16" ht="76.5" x14ac:dyDescent="0.25">
      <c r="A329" s="72" t="s">
        <v>2116</v>
      </c>
      <c r="B329" s="84" t="s">
        <v>2117</v>
      </c>
      <c r="C329" s="74">
        <v>2017</v>
      </c>
      <c r="D329" s="81">
        <v>7.42</v>
      </c>
      <c r="E329" s="72" t="s">
        <v>1831</v>
      </c>
      <c r="F329" s="76" t="s">
        <v>1832</v>
      </c>
      <c r="G329" s="72" t="s">
        <v>1909</v>
      </c>
      <c r="H329" s="72" t="s">
        <v>1905</v>
      </c>
      <c r="I329" s="72" t="s">
        <v>1893</v>
      </c>
      <c r="J329" s="77" t="s">
        <v>1893</v>
      </c>
      <c r="K329" s="77"/>
      <c r="L329" s="77"/>
      <c r="M329" s="78" t="s">
        <v>1961</v>
      </c>
      <c r="N329" s="78" t="s">
        <v>1962</v>
      </c>
      <c r="O329" s="78"/>
      <c r="P329" s="86">
        <v>8.7799999999999994</v>
      </c>
    </row>
    <row r="330" spans="1:16" ht="76.5" x14ac:dyDescent="0.25">
      <c r="A330" s="72" t="s">
        <v>2118</v>
      </c>
      <c r="B330" s="84" t="s">
        <v>2119</v>
      </c>
      <c r="C330" s="74">
        <v>2017</v>
      </c>
      <c r="D330" s="81">
        <v>7.42</v>
      </c>
      <c r="E330" s="72" t="s">
        <v>1831</v>
      </c>
      <c r="F330" s="76" t="s">
        <v>1832</v>
      </c>
      <c r="G330" s="72" t="s">
        <v>1909</v>
      </c>
      <c r="H330" s="72" t="s">
        <v>1905</v>
      </c>
      <c r="I330" s="72" t="s">
        <v>1893</v>
      </c>
      <c r="J330" s="77" t="s">
        <v>1893</v>
      </c>
      <c r="K330" s="77"/>
      <c r="L330" s="77"/>
      <c r="M330" s="78" t="s">
        <v>1961</v>
      </c>
      <c r="N330" s="78" t="s">
        <v>1962</v>
      </c>
      <c r="O330" s="78"/>
      <c r="P330" s="86">
        <v>8.7799999999999994</v>
      </c>
    </row>
    <row r="331" spans="1:16" ht="76.5" x14ac:dyDescent="0.25">
      <c r="A331" s="72" t="s">
        <v>2120</v>
      </c>
      <c r="B331" s="84" t="s">
        <v>2121</v>
      </c>
      <c r="C331" s="74">
        <v>2017</v>
      </c>
      <c r="D331" s="81">
        <v>7.42</v>
      </c>
      <c r="E331" s="72" t="s">
        <v>1831</v>
      </c>
      <c r="F331" s="76" t="s">
        <v>1832</v>
      </c>
      <c r="G331" s="72" t="s">
        <v>1909</v>
      </c>
      <c r="H331" s="72" t="s">
        <v>1905</v>
      </c>
      <c r="I331" s="72" t="s">
        <v>1893</v>
      </c>
      <c r="J331" s="77" t="s">
        <v>1893</v>
      </c>
      <c r="K331" s="77"/>
      <c r="L331" s="77"/>
      <c r="M331" s="78" t="s">
        <v>1961</v>
      </c>
      <c r="N331" s="78" t="s">
        <v>1962</v>
      </c>
      <c r="O331" s="78"/>
      <c r="P331" s="86">
        <v>8.7799999999999994</v>
      </c>
    </row>
    <row r="332" spans="1:16" ht="76.5" x14ac:dyDescent="0.25">
      <c r="A332" s="72" t="s">
        <v>2122</v>
      </c>
      <c r="B332" s="84" t="s">
        <v>2123</v>
      </c>
      <c r="C332" s="74">
        <v>2017</v>
      </c>
      <c r="D332" s="81">
        <v>7.42</v>
      </c>
      <c r="E332" s="72" t="s">
        <v>1831</v>
      </c>
      <c r="F332" s="76" t="s">
        <v>1832</v>
      </c>
      <c r="G332" s="72" t="s">
        <v>1909</v>
      </c>
      <c r="H332" s="72" t="s">
        <v>1905</v>
      </c>
      <c r="I332" s="72" t="s">
        <v>1893</v>
      </c>
      <c r="J332" s="77" t="s">
        <v>1893</v>
      </c>
      <c r="K332" s="77"/>
      <c r="L332" s="77"/>
      <c r="M332" s="78" t="s">
        <v>1961</v>
      </c>
      <c r="N332" s="78" t="s">
        <v>1962</v>
      </c>
      <c r="O332" s="78"/>
      <c r="P332" s="86">
        <v>8.7799999999999994</v>
      </c>
    </row>
    <row r="333" spans="1:16" ht="76.5" x14ac:dyDescent="0.25">
      <c r="A333" s="72" t="s">
        <v>2124</v>
      </c>
      <c r="B333" s="84" t="s">
        <v>2125</v>
      </c>
      <c r="C333" s="74">
        <v>2017</v>
      </c>
      <c r="D333" s="81">
        <v>8.83</v>
      </c>
      <c r="E333" s="72" t="s">
        <v>1831</v>
      </c>
      <c r="F333" s="76" t="s">
        <v>1832</v>
      </c>
      <c r="G333" s="72" t="s">
        <v>1909</v>
      </c>
      <c r="H333" s="72" t="s">
        <v>1905</v>
      </c>
      <c r="I333" s="72" t="s">
        <v>1893</v>
      </c>
      <c r="J333" s="77" t="s">
        <v>1893</v>
      </c>
      <c r="K333" s="77"/>
      <c r="L333" s="77"/>
      <c r="M333" s="78" t="s">
        <v>1961</v>
      </c>
      <c r="N333" s="78" t="s">
        <v>1962</v>
      </c>
      <c r="O333" s="78"/>
      <c r="P333" s="86">
        <v>9.6300000000000008</v>
      </c>
    </row>
    <row r="334" spans="1:16" ht="76.5" x14ac:dyDescent="0.25">
      <c r="A334" s="72" t="s">
        <v>2126</v>
      </c>
      <c r="B334" s="84" t="s">
        <v>2127</v>
      </c>
      <c r="C334" s="74">
        <v>2017</v>
      </c>
      <c r="D334" s="81">
        <v>10.71</v>
      </c>
      <c r="E334" s="72" t="s">
        <v>1831</v>
      </c>
      <c r="F334" s="76" t="s">
        <v>1832</v>
      </c>
      <c r="G334" s="72" t="s">
        <v>1909</v>
      </c>
      <c r="H334" s="72" t="s">
        <v>1905</v>
      </c>
      <c r="I334" s="72" t="s">
        <v>1893</v>
      </c>
      <c r="J334" s="77" t="s">
        <v>1893</v>
      </c>
      <c r="K334" s="77"/>
      <c r="L334" s="77"/>
      <c r="M334" s="78" t="s">
        <v>1961</v>
      </c>
      <c r="N334" s="78" t="s">
        <v>1962</v>
      </c>
      <c r="O334" s="78"/>
      <c r="P334" s="86">
        <v>11.510000000000002</v>
      </c>
    </row>
    <row r="335" spans="1:16" ht="76.5" x14ac:dyDescent="0.25">
      <c r="A335" s="72" t="s">
        <v>2128</v>
      </c>
      <c r="B335" s="84" t="s">
        <v>2129</v>
      </c>
      <c r="C335" s="74">
        <v>2017</v>
      </c>
      <c r="D335" s="81">
        <v>10.71</v>
      </c>
      <c r="E335" s="72" t="s">
        <v>1831</v>
      </c>
      <c r="F335" s="76" t="s">
        <v>1832</v>
      </c>
      <c r="G335" s="72" t="s">
        <v>1909</v>
      </c>
      <c r="H335" s="72" t="s">
        <v>1905</v>
      </c>
      <c r="I335" s="72" t="s">
        <v>1893</v>
      </c>
      <c r="J335" s="77" t="s">
        <v>1893</v>
      </c>
      <c r="K335" s="77"/>
      <c r="L335" s="77"/>
      <c r="M335" s="78" t="s">
        <v>1961</v>
      </c>
      <c r="N335" s="78" t="s">
        <v>1962</v>
      </c>
      <c r="O335" s="78"/>
      <c r="P335" s="86">
        <v>11.510000000000002</v>
      </c>
    </row>
    <row r="336" spans="1:16" ht="76.5" x14ac:dyDescent="0.25">
      <c r="A336" s="72" t="s">
        <v>2130</v>
      </c>
      <c r="B336" s="84" t="s">
        <v>2131</v>
      </c>
      <c r="C336" s="74">
        <v>2017</v>
      </c>
      <c r="D336" s="81">
        <v>5.77</v>
      </c>
      <c r="E336" s="72" t="s">
        <v>1831</v>
      </c>
      <c r="F336" s="76" t="s">
        <v>1832</v>
      </c>
      <c r="G336" s="72" t="s">
        <v>1909</v>
      </c>
      <c r="H336" s="72" t="s">
        <v>1905</v>
      </c>
      <c r="I336" s="72" t="s">
        <v>1893</v>
      </c>
      <c r="J336" s="77" t="s">
        <v>1893</v>
      </c>
      <c r="K336" s="77"/>
      <c r="L336" s="77"/>
      <c r="M336" s="78" t="s">
        <v>1961</v>
      </c>
      <c r="N336" s="78" t="s">
        <v>1962</v>
      </c>
      <c r="O336" s="78"/>
      <c r="P336" s="86">
        <v>6.68</v>
      </c>
    </row>
    <row r="337" spans="1:16" ht="76.5" x14ac:dyDescent="0.25">
      <c r="A337" s="72" t="s">
        <v>2132</v>
      </c>
      <c r="B337" s="84" t="s">
        <v>2133</v>
      </c>
      <c r="C337" s="74">
        <v>2017</v>
      </c>
      <c r="D337" s="81">
        <v>5.77</v>
      </c>
      <c r="E337" s="72" t="s">
        <v>1831</v>
      </c>
      <c r="F337" s="76" t="s">
        <v>1832</v>
      </c>
      <c r="G337" s="72" t="s">
        <v>1909</v>
      </c>
      <c r="H337" s="72" t="s">
        <v>1905</v>
      </c>
      <c r="I337" s="72" t="s">
        <v>1893</v>
      </c>
      <c r="J337" s="77" t="s">
        <v>1893</v>
      </c>
      <c r="K337" s="77"/>
      <c r="L337" s="77"/>
      <c r="M337" s="78" t="s">
        <v>1961</v>
      </c>
      <c r="N337" s="78" t="s">
        <v>1962</v>
      </c>
      <c r="O337" s="78"/>
      <c r="P337" s="86">
        <v>6.68</v>
      </c>
    </row>
    <row r="338" spans="1:16" ht="76.5" x14ac:dyDescent="0.25">
      <c r="A338" s="72" t="s">
        <v>2134</v>
      </c>
      <c r="B338" s="84" t="s">
        <v>2135</v>
      </c>
      <c r="C338" s="74">
        <v>2017</v>
      </c>
      <c r="D338" s="81">
        <v>6.87</v>
      </c>
      <c r="E338" s="72" t="s">
        <v>1831</v>
      </c>
      <c r="F338" s="76" t="s">
        <v>1832</v>
      </c>
      <c r="G338" s="72" t="s">
        <v>1909</v>
      </c>
      <c r="H338" s="72" t="s">
        <v>1905</v>
      </c>
      <c r="I338" s="72" t="s">
        <v>1893</v>
      </c>
      <c r="J338" s="77" t="s">
        <v>1893</v>
      </c>
      <c r="K338" s="77"/>
      <c r="L338" s="77"/>
      <c r="M338" s="78" t="s">
        <v>1961</v>
      </c>
      <c r="N338" s="78" t="s">
        <v>1962</v>
      </c>
      <c r="O338" s="78"/>
      <c r="P338" s="86">
        <v>7.78</v>
      </c>
    </row>
    <row r="339" spans="1:16" ht="76.5" x14ac:dyDescent="0.25">
      <c r="A339" s="72" t="s">
        <v>2136</v>
      </c>
      <c r="B339" s="84" t="s">
        <v>2137</v>
      </c>
      <c r="C339" s="74">
        <v>2017</v>
      </c>
      <c r="D339" s="81">
        <v>5.77</v>
      </c>
      <c r="E339" s="72" t="s">
        <v>1831</v>
      </c>
      <c r="F339" s="76" t="s">
        <v>1832</v>
      </c>
      <c r="G339" s="72" t="s">
        <v>1909</v>
      </c>
      <c r="H339" s="72" t="s">
        <v>1905</v>
      </c>
      <c r="I339" s="72" t="s">
        <v>1893</v>
      </c>
      <c r="J339" s="77" t="s">
        <v>1893</v>
      </c>
      <c r="K339" s="77"/>
      <c r="L339" s="77"/>
      <c r="M339" s="78" t="s">
        <v>1961</v>
      </c>
      <c r="N339" s="78" t="s">
        <v>1962</v>
      </c>
      <c r="O339" s="78"/>
      <c r="P339" s="86">
        <v>6.68</v>
      </c>
    </row>
    <row r="340" spans="1:16" ht="89.25" x14ac:dyDescent="0.25">
      <c r="A340" s="72" t="s">
        <v>2138</v>
      </c>
      <c r="B340" s="84" t="s">
        <v>2139</v>
      </c>
      <c r="C340" s="74">
        <v>2017</v>
      </c>
      <c r="D340" s="81">
        <v>5.77</v>
      </c>
      <c r="E340" s="72" t="s">
        <v>1831</v>
      </c>
      <c r="F340" s="76" t="s">
        <v>1832</v>
      </c>
      <c r="G340" s="72" t="s">
        <v>1909</v>
      </c>
      <c r="H340" s="72" t="s">
        <v>1905</v>
      </c>
      <c r="I340" s="72" t="s">
        <v>1893</v>
      </c>
      <c r="J340" s="77" t="s">
        <v>1893</v>
      </c>
      <c r="K340" s="77"/>
      <c r="L340" s="77"/>
      <c r="M340" s="78" t="s">
        <v>1961</v>
      </c>
      <c r="N340" s="78" t="s">
        <v>1962</v>
      </c>
      <c r="O340" s="78"/>
      <c r="P340" s="86">
        <v>6.68</v>
      </c>
    </row>
    <row r="341" spans="1:16" ht="89.25" x14ac:dyDescent="0.25">
      <c r="A341" s="72" t="s">
        <v>2140</v>
      </c>
      <c r="B341" s="84" t="s">
        <v>2141</v>
      </c>
      <c r="C341" s="74">
        <v>2017</v>
      </c>
      <c r="D341" s="81">
        <v>5.77</v>
      </c>
      <c r="E341" s="72" t="s">
        <v>1831</v>
      </c>
      <c r="F341" s="76" t="s">
        <v>1832</v>
      </c>
      <c r="G341" s="72" t="s">
        <v>1909</v>
      </c>
      <c r="H341" s="72" t="s">
        <v>1905</v>
      </c>
      <c r="I341" s="72" t="s">
        <v>1893</v>
      </c>
      <c r="J341" s="77" t="s">
        <v>1893</v>
      </c>
      <c r="K341" s="77"/>
      <c r="L341" s="77"/>
      <c r="M341" s="78" t="s">
        <v>1961</v>
      </c>
      <c r="N341" s="78" t="s">
        <v>1962</v>
      </c>
      <c r="O341" s="78"/>
      <c r="P341" s="86">
        <v>6.68</v>
      </c>
    </row>
    <row r="342" spans="1:16" ht="89.25" x14ac:dyDescent="0.25">
      <c r="A342" s="72" t="s">
        <v>2142</v>
      </c>
      <c r="B342" s="84" t="s">
        <v>2143</v>
      </c>
      <c r="C342" s="74">
        <v>2017</v>
      </c>
      <c r="D342" s="81">
        <v>5.77</v>
      </c>
      <c r="E342" s="72" t="s">
        <v>1831</v>
      </c>
      <c r="F342" s="76" t="s">
        <v>1832</v>
      </c>
      <c r="G342" s="72" t="s">
        <v>1909</v>
      </c>
      <c r="H342" s="72" t="s">
        <v>1905</v>
      </c>
      <c r="I342" s="72" t="s">
        <v>1893</v>
      </c>
      <c r="J342" s="77" t="s">
        <v>1893</v>
      </c>
      <c r="K342" s="77"/>
      <c r="L342" s="77"/>
      <c r="M342" s="78" t="s">
        <v>1961</v>
      </c>
      <c r="N342" s="78" t="s">
        <v>1962</v>
      </c>
      <c r="O342" s="78"/>
      <c r="P342" s="86">
        <v>6.68</v>
      </c>
    </row>
    <row r="343" spans="1:16" ht="89.25" x14ac:dyDescent="0.25">
      <c r="A343" s="72" t="s">
        <v>2144</v>
      </c>
      <c r="B343" s="84" t="s">
        <v>2145</v>
      </c>
      <c r="C343" s="74">
        <v>2017</v>
      </c>
      <c r="D343" s="81">
        <v>6.87</v>
      </c>
      <c r="E343" s="72" t="s">
        <v>1831</v>
      </c>
      <c r="F343" s="76" t="s">
        <v>1832</v>
      </c>
      <c r="G343" s="72" t="s">
        <v>1909</v>
      </c>
      <c r="H343" s="72" t="s">
        <v>1905</v>
      </c>
      <c r="I343" s="72" t="s">
        <v>1893</v>
      </c>
      <c r="J343" s="77" t="s">
        <v>1893</v>
      </c>
      <c r="K343" s="77"/>
      <c r="L343" s="77"/>
      <c r="M343" s="78" t="s">
        <v>1961</v>
      </c>
      <c r="N343" s="78" t="s">
        <v>1962</v>
      </c>
      <c r="O343" s="78"/>
      <c r="P343" s="86">
        <v>7.78</v>
      </c>
    </row>
    <row r="344" spans="1:16" ht="89.25" x14ac:dyDescent="0.25">
      <c r="A344" s="72" t="s">
        <v>2146</v>
      </c>
      <c r="B344" s="84" t="s">
        <v>2147</v>
      </c>
      <c r="C344" s="74">
        <v>2017</v>
      </c>
      <c r="D344" s="81">
        <v>8.33</v>
      </c>
      <c r="E344" s="72" t="s">
        <v>1831</v>
      </c>
      <c r="F344" s="76" t="s">
        <v>1832</v>
      </c>
      <c r="G344" s="72" t="s">
        <v>1909</v>
      </c>
      <c r="H344" s="72" t="s">
        <v>1905</v>
      </c>
      <c r="I344" s="72" t="s">
        <v>1893</v>
      </c>
      <c r="J344" s="77" t="s">
        <v>1893</v>
      </c>
      <c r="K344" s="77"/>
      <c r="L344" s="77"/>
      <c r="M344" s="78" t="s">
        <v>1961</v>
      </c>
      <c r="N344" s="78" t="s">
        <v>1962</v>
      </c>
      <c r="O344" s="78"/>
      <c r="P344" s="86">
        <v>9.24</v>
      </c>
    </row>
    <row r="345" spans="1:16" x14ac:dyDescent="0.25">
      <c r="A345" s="72" t="s">
        <v>2148</v>
      </c>
      <c r="B345" s="72" t="s">
        <v>2149</v>
      </c>
      <c r="C345" s="74">
        <v>2017</v>
      </c>
      <c r="D345" s="81">
        <v>37.659999999999997</v>
      </c>
      <c r="E345" s="72" t="s">
        <v>1821</v>
      </c>
      <c r="F345" s="76" t="s">
        <v>1822</v>
      </c>
      <c r="G345" s="72" t="s">
        <v>2150</v>
      </c>
      <c r="H345" s="72" t="s">
        <v>1905</v>
      </c>
      <c r="I345" s="72" t="s">
        <v>1893</v>
      </c>
      <c r="J345" s="77" t="s">
        <v>1893</v>
      </c>
      <c r="K345" s="77"/>
      <c r="L345" s="77"/>
      <c r="M345" s="78" t="s">
        <v>1824</v>
      </c>
      <c r="N345" s="78" t="s">
        <v>1825</v>
      </c>
      <c r="O345" s="78"/>
      <c r="P345" s="80" t="e">
        <v>#N/A</v>
      </c>
    </row>
    <row r="346" spans="1:16" x14ac:dyDescent="0.25">
      <c r="A346" s="72" t="s">
        <v>2151</v>
      </c>
      <c r="B346" s="72" t="s">
        <v>2152</v>
      </c>
      <c r="C346" s="74">
        <v>2017</v>
      </c>
      <c r="D346" s="81">
        <v>39.22</v>
      </c>
      <c r="E346" s="72" t="s">
        <v>1821</v>
      </c>
      <c r="F346" s="76" t="s">
        <v>1822</v>
      </c>
      <c r="G346" s="72" t="s">
        <v>2150</v>
      </c>
      <c r="H346" s="72" t="s">
        <v>1905</v>
      </c>
      <c r="I346" s="72" t="s">
        <v>1893</v>
      </c>
      <c r="J346" s="77" t="s">
        <v>1893</v>
      </c>
      <c r="K346" s="77"/>
      <c r="L346" s="77"/>
      <c r="M346" s="78" t="s">
        <v>1824</v>
      </c>
      <c r="N346" s="78" t="s">
        <v>1825</v>
      </c>
      <c r="O346" s="78"/>
      <c r="P346" s="80" t="e">
        <v>#N/A</v>
      </c>
    </row>
    <row r="347" spans="1:16" x14ac:dyDescent="0.25">
      <c r="A347" s="72" t="s">
        <v>2153</v>
      </c>
      <c r="B347" s="72" t="s">
        <v>2154</v>
      </c>
      <c r="C347" s="74">
        <v>2017</v>
      </c>
      <c r="D347" s="81">
        <v>74.64</v>
      </c>
      <c r="E347" s="72" t="s">
        <v>1821</v>
      </c>
      <c r="F347" s="76" t="s">
        <v>1822</v>
      </c>
      <c r="G347" s="72" t="s">
        <v>2150</v>
      </c>
      <c r="H347" s="72" t="s">
        <v>1905</v>
      </c>
      <c r="I347" s="72" t="s">
        <v>1893</v>
      </c>
      <c r="J347" s="77" t="s">
        <v>1893</v>
      </c>
      <c r="K347" s="77"/>
      <c r="L347" s="77"/>
      <c r="M347" s="78" t="s">
        <v>1824</v>
      </c>
      <c r="N347" s="78" t="s">
        <v>1825</v>
      </c>
      <c r="O347" s="78"/>
      <c r="P347" s="80" t="e">
        <v>#N/A</v>
      </c>
    </row>
    <row r="348" spans="1:16" x14ac:dyDescent="0.25">
      <c r="A348" s="72" t="s">
        <v>2155</v>
      </c>
      <c r="B348" s="72" t="s">
        <v>2156</v>
      </c>
      <c r="C348" s="74">
        <v>2017</v>
      </c>
      <c r="D348" s="81">
        <v>41.09</v>
      </c>
      <c r="E348" s="72" t="s">
        <v>1821</v>
      </c>
      <c r="F348" s="76" t="s">
        <v>1822</v>
      </c>
      <c r="G348" s="72" t="s">
        <v>2150</v>
      </c>
      <c r="H348" s="72" t="s">
        <v>1905</v>
      </c>
      <c r="I348" s="72" t="s">
        <v>1893</v>
      </c>
      <c r="J348" s="77" t="s">
        <v>1893</v>
      </c>
      <c r="K348" s="77"/>
      <c r="L348" s="77"/>
      <c r="M348" s="78" t="s">
        <v>1824</v>
      </c>
      <c r="N348" s="78" t="s">
        <v>1825</v>
      </c>
      <c r="O348" s="78"/>
      <c r="P348" s="80" t="e">
        <v>#N/A</v>
      </c>
    </row>
    <row r="349" spans="1:16" x14ac:dyDescent="0.25">
      <c r="A349" s="72" t="s">
        <v>2157</v>
      </c>
      <c r="B349" s="72" t="s">
        <v>2158</v>
      </c>
      <c r="C349" s="74">
        <v>2017</v>
      </c>
      <c r="D349" s="81">
        <v>41.06</v>
      </c>
      <c r="E349" s="72" t="s">
        <v>1821</v>
      </c>
      <c r="F349" s="76" t="s">
        <v>1822</v>
      </c>
      <c r="G349" s="72" t="s">
        <v>2150</v>
      </c>
      <c r="H349" s="72" t="s">
        <v>1905</v>
      </c>
      <c r="I349" s="72" t="s">
        <v>1893</v>
      </c>
      <c r="J349" s="77" t="s">
        <v>1893</v>
      </c>
      <c r="K349" s="77"/>
      <c r="L349" s="77"/>
      <c r="M349" s="78" t="s">
        <v>1824</v>
      </c>
      <c r="N349" s="78" t="s">
        <v>1825</v>
      </c>
      <c r="O349" s="78"/>
      <c r="P349" s="80" t="e">
        <v>#N/A</v>
      </c>
    </row>
    <row r="350" spans="1:16" x14ac:dyDescent="0.25">
      <c r="A350" s="72" t="s">
        <v>2159</v>
      </c>
      <c r="B350" s="72" t="s">
        <v>2160</v>
      </c>
      <c r="C350" s="74">
        <v>2017</v>
      </c>
      <c r="D350" s="81">
        <v>87.7</v>
      </c>
      <c r="E350" s="72" t="s">
        <v>1821</v>
      </c>
      <c r="F350" s="76" t="s">
        <v>1822</v>
      </c>
      <c r="G350" s="72" t="s">
        <v>2150</v>
      </c>
      <c r="H350" s="72" t="s">
        <v>1905</v>
      </c>
      <c r="I350" s="72" t="s">
        <v>1893</v>
      </c>
      <c r="J350" s="77" t="s">
        <v>1893</v>
      </c>
      <c r="K350" s="77"/>
      <c r="L350" s="77"/>
      <c r="M350" s="78" t="s">
        <v>1824</v>
      </c>
      <c r="N350" s="78" t="s">
        <v>1825</v>
      </c>
      <c r="O350" s="78"/>
      <c r="P350" s="80" t="e">
        <v>#N/A</v>
      </c>
    </row>
    <row r="351" spans="1:16" x14ac:dyDescent="0.25">
      <c r="A351" s="72" t="s">
        <v>2161</v>
      </c>
      <c r="B351" s="72" t="s">
        <v>2162</v>
      </c>
      <c r="C351" s="74">
        <v>2017</v>
      </c>
      <c r="D351" s="81">
        <v>45.43</v>
      </c>
      <c r="E351" s="72" t="s">
        <v>1821</v>
      </c>
      <c r="F351" s="76" t="s">
        <v>1822</v>
      </c>
      <c r="G351" s="72" t="s">
        <v>2150</v>
      </c>
      <c r="H351" s="72" t="s">
        <v>1905</v>
      </c>
      <c r="I351" s="72" t="s">
        <v>1893</v>
      </c>
      <c r="J351" s="77" t="s">
        <v>1893</v>
      </c>
      <c r="K351" s="77"/>
      <c r="L351" s="77"/>
      <c r="M351" s="78" t="s">
        <v>1824</v>
      </c>
      <c r="N351" s="78" t="s">
        <v>1825</v>
      </c>
      <c r="O351" s="78"/>
      <c r="P351" s="80" t="e">
        <v>#N/A</v>
      </c>
    </row>
    <row r="352" spans="1:16" x14ac:dyDescent="0.25">
      <c r="A352" s="72" t="s">
        <v>2163</v>
      </c>
      <c r="B352" s="72" t="s">
        <v>2164</v>
      </c>
      <c r="C352" s="74">
        <v>2017</v>
      </c>
      <c r="D352" s="81">
        <v>43.83</v>
      </c>
      <c r="E352" s="72" t="s">
        <v>1821</v>
      </c>
      <c r="F352" s="76" t="s">
        <v>1822</v>
      </c>
      <c r="G352" s="72" t="s">
        <v>2150</v>
      </c>
      <c r="H352" s="72" t="s">
        <v>1905</v>
      </c>
      <c r="I352" s="72" t="s">
        <v>1893</v>
      </c>
      <c r="J352" s="77" t="s">
        <v>1893</v>
      </c>
      <c r="K352" s="77"/>
      <c r="L352" s="77"/>
      <c r="M352" s="78" t="s">
        <v>1824</v>
      </c>
      <c r="N352" s="78" t="s">
        <v>1825</v>
      </c>
      <c r="O352" s="78"/>
      <c r="P352" s="80" t="e">
        <v>#N/A</v>
      </c>
    </row>
    <row r="353" spans="1:16" x14ac:dyDescent="0.25">
      <c r="A353" s="72" t="s">
        <v>2165</v>
      </c>
      <c r="B353" s="72" t="s">
        <v>2166</v>
      </c>
      <c r="C353" s="74">
        <v>2017</v>
      </c>
      <c r="D353" s="81">
        <v>75.989999999999995</v>
      </c>
      <c r="E353" s="72" t="s">
        <v>1821</v>
      </c>
      <c r="F353" s="76" t="s">
        <v>1822</v>
      </c>
      <c r="G353" s="72" t="s">
        <v>2150</v>
      </c>
      <c r="H353" s="72" t="s">
        <v>1905</v>
      </c>
      <c r="I353" s="72" t="s">
        <v>1893</v>
      </c>
      <c r="J353" s="77" t="s">
        <v>1893</v>
      </c>
      <c r="K353" s="77"/>
      <c r="L353" s="77"/>
      <c r="M353" s="78" t="s">
        <v>1824</v>
      </c>
      <c r="N353" s="78" t="s">
        <v>1825</v>
      </c>
      <c r="O353" s="78"/>
      <c r="P353" s="80" t="e">
        <v>#N/A</v>
      </c>
    </row>
    <row r="354" spans="1:16" x14ac:dyDescent="0.25">
      <c r="A354" s="72" t="s">
        <v>254</v>
      </c>
      <c r="B354" s="72" t="s">
        <v>1149</v>
      </c>
      <c r="C354" s="74">
        <v>2017</v>
      </c>
      <c r="D354" s="81">
        <v>67.53</v>
      </c>
      <c r="E354" s="72" t="s">
        <v>1958</v>
      </c>
      <c r="F354" s="76" t="s">
        <v>1959</v>
      </c>
      <c r="G354" s="72" t="s">
        <v>2167</v>
      </c>
      <c r="H354" s="72" t="s">
        <v>1905</v>
      </c>
      <c r="I354" s="72" t="s">
        <v>2168</v>
      </c>
      <c r="J354" s="89">
        <v>26.11</v>
      </c>
      <c r="K354" s="72" t="s">
        <v>2169</v>
      </c>
      <c r="L354" s="81">
        <v>1.77</v>
      </c>
      <c r="M354" s="78" t="s">
        <v>1824</v>
      </c>
      <c r="N354" s="78" t="s">
        <v>1825</v>
      </c>
      <c r="O354" s="78"/>
      <c r="P354" s="80">
        <v>67.53</v>
      </c>
    </row>
    <row r="355" spans="1:16" x14ac:dyDescent="0.25">
      <c r="A355" s="72" t="s">
        <v>298</v>
      </c>
      <c r="B355" s="72" t="s">
        <v>1150</v>
      </c>
      <c r="C355" s="74">
        <v>2017</v>
      </c>
      <c r="D355" s="81">
        <v>86.09</v>
      </c>
      <c r="E355" s="72" t="s">
        <v>1958</v>
      </c>
      <c r="F355" s="76" t="s">
        <v>1959</v>
      </c>
      <c r="G355" s="72" t="s">
        <v>2167</v>
      </c>
      <c r="H355" s="72" t="s">
        <v>1905</v>
      </c>
      <c r="I355" s="72" t="s">
        <v>2170</v>
      </c>
      <c r="J355" s="89">
        <v>27.42</v>
      </c>
      <c r="K355" s="72" t="s">
        <v>2171</v>
      </c>
      <c r="L355" s="81">
        <v>1.77</v>
      </c>
      <c r="M355" s="78" t="s">
        <v>1824</v>
      </c>
      <c r="N355" s="78" t="s">
        <v>1825</v>
      </c>
      <c r="O355" s="78"/>
      <c r="P355" s="80">
        <v>86.09</v>
      </c>
    </row>
    <row r="356" spans="1:16" x14ac:dyDescent="0.25">
      <c r="A356" s="72" t="s">
        <v>324</v>
      </c>
      <c r="B356" s="72" t="s">
        <v>700</v>
      </c>
      <c r="C356" s="74">
        <v>2017</v>
      </c>
      <c r="D356" s="81">
        <v>104.35</v>
      </c>
      <c r="E356" s="72" t="s">
        <v>1958</v>
      </c>
      <c r="F356" s="76" t="s">
        <v>1959</v>
      </c>
      <c r="G356" s="72" t="s">
        <v>2167</v>
      </c>
      <c r="H356" s="72" t="s">
        <v>1905</v>
      </c>
      <c r="I356" s="72" t="s">
        <v>2172</v>
      </c>
      <c r="J356" s="89">
        <v>29.93</v>
      </c>
      <c r="K356" s="72" t="s">
        <v>2173</v>
      </c>
      <c r="L356" s="81">
        <v>1.77</v>
      </c>
      <c r="M356" s="78" t="s">
        <v>1824</v>
      </c>
      <c r="N356" s="78" t="s">
        <v>1825</v>
      </c>
      <c r="O356" s="78"/>
      <c r="P356" s="80">
        <v>104.35</v>
      </c>
    </row>
    <row r="357" spans="1:16" x14ac:dyDescent="0.25">
      <c r="A357" s="72" t="s">
        <v>62</v>
      </c>
      <c r="B357" s="72" t="s">
        <v>701</v>
      </c>
      <c r="C357" s="74">
        <v>2017</v>
      </c>
      <c r="D357" s="81">
        <v>130.53</v>
      </c>
      <c r="E357" s="72" t="s">
        <v>1958</v>
      </c>
      <c r="F357" s="76" t="s">
        <v>1959</v>
      </c>
      <c r="G357" s="72" t="s">
        <v>2167</v>
      </c>
      <c r="H357" s="72" t="s">
        <v>1905</v>
      </c>
      <c r="I357" s="72" t="s">
        <v>2174</v>
      </c>
      <c r="J357" s="89">
        <v>30.38</v>
      </c>
      <c r="K357" s="72" t="s">
        <v>2175</v>
      </c>
      <c r="L357" s="81">
        <v>2.42</v>
      </c>
      <c r="M357" s="78" t="s">
        <v>1824</v>
      </c>
      <c r="N357" s="78" t="s">
        <v>1825</v>
      </c>
      <c r="O357" s="78"/>
      <c r="P357" s="80">
        <v>130.53</v>
      </c>
    </row>
    <row r="358" spans="1:16" x14ac:dyDescent="0.25">
      <c r="A358" s="72" t="s">
        <v>128</v>
      </c>
      <c r="B358" s="72" t="s">
        <v>702</v>
      </c>
      <c r="C358" s="74">
        <v>2017</v>
      </c>
      <c r="D358" s="81">
        <v>118.71</v>
      </c>
      <c r="E358" s="72" t="s">
        <v>1958</v>
      </c>
      <c r="F358" s="76" t="s">
        <v>1959</v>
      </c>
      <c r="G358" s="72" t="s">
        <v>2176</v>
      </c>
      <c r="H358" s="72" t="s">
        <v>1905</v>
      </c>
      <c r="I358" s="72" t="s">
        <v>2177</v>
      </c>
      <c r="J358" s="89">
        <v>30.36</v>
      </c>
      <c r="K358" s="72" t="s">
        <v>2178</v>
      </c>
      <c r="L358" s="81">
        <v>1.77</v>
      </c>
      <c r="M358" s="78" t="s">
        <v>1824</v>
      </c>
      <c r="N358" s="78" t="s">
        <v>1825</v>
      </c>
      <c r="O358" s="78"/>
      <c r="P358" s="80">
        <v>118.71</v>
      </c>
    </row>
    <row r="359" spans="1:16" x14ac:dyDescent="0.25">
      <c r="A359" s="72" t="s">
        <v>342</v>
      </c>
      <c r="B359" s="72" t="s">
        <v>703</v>
      </c>
      <c r="C359" s="74">
        <v>2017</v>
      </c>
      <c r="D359" s="81">
        <v>144.9</v>
      </c>
      <c r="E359" s="72" t="s">
        <v>1958</v>
      </c>
      <c r="F359" s="76" t="s">
        <v>1959</v>
      </c>
      <c r="G359" s="72" t="s">
        <v>2176</v>
      </c>
      <c r="H359" s="72" t="s">
        <v>1905</v>
      </c>
      <c r="I359" s="72" t="s">
        <v>2179</v>
      </c>
      <c r="J359" s="89">
        <v>30.82</v>
      </c>
      <c r="K359" s="72" t="s">
        <v>2180</v>
      </c>
      <c r="L359" s="81">
        <v>2.42</v>
      </c>
      <c r="M359" s="78" t="s">
        <v>1824</v>
      </c>
      <c r="N359" s="78" t="s">
        <v>1825</v>
      </c>
      <c r="O359" s="78"/>
      <c r="P359" s="80">
        <v>144.9</v>
      </c>
    </row>
    <row r="360" spans="1:16" x14ac:dyDescent="0.25">
      <c r="A360" s="72" t="s">
        <v>95</v>
      </c>
      <c r="B360" s="72" t="s">
        <v>704</v>
      </c>
      <c r="C360" s="74">
        <v>2017</v>
      </c>
      <c r="D360" s="81">
        <v>162.91999999999999</v>
      </c>
      <c r="E360" s="72" t="s">
        <v>1958</v>
      </c>
      <c r="F360" s="76" t="s">
        <v>1959</v>
      </c>
      <c r="G360" s="72" t="s">
        <v>2176</v>
      </c>
      <c r="H360" s="72" t="s">
        <v>1905</v>
      </c>
      <c r="I360" s="72" t="s">
        <v>2181</v>
      </c>
      <c r="J360" s="89">
        <v>29.88</v>
      </c>
      <c r="K360" s="72" t="s">
        <v>2182</v>
      </c>
      <c r="L360" s="81">
        <v>2.35</v>
      </c>
      <c r="M360" s="78" t="s">
        <v>1824</v>
      </c>
      <c r="N360" s="78" t="s">
        <v>1825</v>
      </c>
      <c r="O360" s="78"/>
      <c r="P360" s="80">
        <v>162.91999999999999</v>
      </c>
    </row>
    <row r="361" spans="1:16" x14ac:dyDescent="0.25">
      <c r="A361" s="72" t="s">
        <v>270</v>
      </c>
      <c r="B361" s="72" t="s">
        <v>705</v>
      </c>
      <c r="C361" s="74">
        <v>2017</v>
      </c>
      <c r="D361" s="81">
        <v>190.45</v>
      </c>
      <c r="E361" s="72" t="s">
        <v>1958</v>
      </c>
      <c r="F361" s="76" t="s">
        <v>1959</v>
      </c>
      <c r="G361" s="72" t="s">
        <v>2176</v>
      </c>
      <c r="H361" s="72" t="s">
        <v>1905</v>
      </c>
      <c r="I361" s="72" t="s">
        <v>2183</v>
      </c>
      <c r="J361" s="89">
        <v>30.81</v>
      </c>
      <c r="K361" s="72" t="s">
        <v>2184</v>
      </c>
      <c r="L361" s="81">
        <v>3.68</v>
      </c>
      <c r="M361" s="78" t="s">
        <v>1824</v>
      </c>
      <c r="N361" s="78" t="s">
        <v>1825</v>
      </c>
      <c r="O361" s="78"/>
      <c r="P361" s="80">
        <v>190.45</v>
      </c>
    </row>
    <row r="362" spans="1:16" x14ac:dyDescent="0.25">
      <c r="A362" s="72" t="s">
        <v>327</v>
      </c>
      <c r="B362" s="72" t="s">
        <v>706</v>
      </c>
      <c r="C362" s="74">
        <v>2017</v>
      </c>
      <c r="D362" s="81">
        <v>163.22999999999999</v>
      </c>
      <c r="E362" s="72" t="s">
        <v>1958</v>
      </c>
      <c r="F362" s="76" t="s">
        <v>1959</v>
      </c>
      <c r="G362" s="72" t="s">
        <v>2176</v>
      </c>
      <c r="H362" s="72" t="s">
        <v>1905</v>
      </c>
      <c r="I362" s="72" t="s">
        <v>2185</v>
      </c>
      <c r="J362" s="89">
        <v>29.8</v>
      </c>
      <c r="K362" s="72" t="s">
        <v>2186</v>
      </c>
      <c r="L362" s="81">
        <v>2.35</v>
      </c>
      <c r="M362" s="78" t="s">
        <v>1824</v>
      </c>
      <c r="N362" s="78" t="s">
        <v>1825</v>
      </c>
      <c r="O362" s="78"/>
      <c r="P362" s="80">
        <v>163.22999999999999</v>
      </c>
    </row>
    <row r="363" spans="1:16" x14ac:dyDescent="0.25">
      <c r="A363" s="72" t="s">
        <v>284</v>
      </c>
      <c r="B363" s="72" t="s">
        <v>707</v>
      </c>
      <c r="C363" s="74">
        <v>2017</v>
      </c>
      <c r="D363" s="81">
        <v>190.77</v>
      </c>
      <c r="E363" s="72" t="s">
        <v>1958</v>
      </c>
      <c r="F363" s="76" t="s">
        <v>1959</v>
      </c>
      <c r="G363" s="72" t="s">
        <v>2176</v>
      </c>
      <c r="H363" s="72" t="s">
        <v>1905</v>
      </c>
      <c r="I363" s="72" t="s">
        <v>2187</v>
      </c>
      <c r="J363" s="89">
        <v>31.49</v>
      </c>
      <c r="K363" s="72" t="s">
        <v>2188</v>
      </c>
      <c r="L363" s="81">
        <v>3.68</v>
      </c>
      <c r="M363" s="78" t="s">
        <v>1824</v>
      </c>
      <c r="N363" s="78" t="s">
        <v>1825</v>
      </c>
      <c r="O363" s="78"/>
      <c r="P363" s="80">
        <v>190.77</v>
      </c>
    </row>
    <row r="364" spans="1:16" x14ac:dyDescent="0.25">
      <c r="A364" s="72" t="s">
        <v>247</v>
      </c>
      <c r="B364" s="72" t="s">
        <v>708</v>
      </c>
      <c r="C364" s="74">
        <v>2017</v>
      </c>
      <c r="D364" s="81">
        <v>191.76</v>
      </c>
      <c r="E364" s="72" t="s">
        <v>1958</v>
      </c>
      <c r="F364" s="76" t="s">
        <v>1959</v>
      </c>
      <c r="G364" s="72" t="s">
        <v>2176</v>
      </c>
      <c r="H364" s="72" t="s">
        <v>1905</v>
      </c>
      <c r="I364" s="72" t="s">
        <v>2189</v>
      </c>
      <c r="J364" s="89">
        <v>30.77</v>
      </c>
      <c r="K364" s="72" t="s">
        <v>2190</v>
      </c>
      <c r="L364" s="81">
        <v>2.35</v>
      </c>
      <c r="M364" s="78" t="s">
        <v>1824</v>
      </c>
      <c r="N364" s="78" t="s">
        <v>1825</v>
      </c>
      <c r="O364" s="78"/>
      <c r="P364" s="80">
        <v>191.76</v>
      </c>
    </row>
    <row r="365" spans="1:16" x14ac:dyDescent="0.25">
      <c r="A365" s="72" t="s">
        <v>164</v>
      </c>
      <c r="B365" s="72" t="s">
        <v>709</v>
      </c>
      <c r="C365" s="74">
        <v>2017</v>
      </c>
      <c r="D365" s="81">
        <v>227.26</v>
      </c>
      <c r="E365" s="72" t="s">
        <v>1958</v>
      </c>
      <c r="F365" s="76" t="s">
        <v>1959</v>
      </c>
      <c r="G365" s="72" t="s">
        <v>2176</v>
      </c>
      <c r="H365" s="72" t="s">
        <v>1905</v>
      </c>
      <c r="I365" s="72" t="s">
        <v>2191</v>
      </c>
      <c r="J365" s="89">
        <v>32.46</v>
      </c>
      <c r="K365" s="72" t="s">
        <v>2192</v>
      </c>
      <c r="L365" s="81">
        <v>3.68</v>
      </c>
      <c r="M365" s="78" t="s">
        <v>1824</v>
      </c>
      <c r="N365" s="78" t="s">
        <v>1825</v>
      </c>
      <c r="O365" s="78"/>
      <c r="P365" s="80">
        <v>227.26</v>
      </c>
    </row>
    <row r="366" spans="1:16" x14ac:dyDescent="0.25">
      <c r="A366" s="72" t="s">
        <v>98</v>
      </c>
      <c r="B366" s="72" t="s">
        <v>712</v>
      </c>
      <c r="C366" s="74">
        <v>2017</v>
      </c>
      <c r="D366" s="81">
        <v>223.77</v>
      </c>
      <c r="E366" s="72" t="s">
        <v>1958</v>
      </c>
      <c r="F366" s="76" t="s">
        <v>1959</v>
      </c>
      <c r="G366" s="72" t="s">
        <v>2176</v>
      </c>
      <c r="H366" s="72" t="s">
        <v>1905</v>
      </c>
      <c r="I366" s="72" t="s">
        <v>2193</v>
      </c>
      <c r="J366" s="89">
        <v>31.7</v>
      </c>
      <c r="K366" s="72" t="s">
        <v>2194</v>
      </c>
      <c r="L366" s="81">
        <v>2.83</v>
      </c>
      <c r="M366" s="78" t="s">
        <v>1824</v>
      </c>
      <c r="N366" s="78" t="s">
        <v>1825</v>
      </c>
      <c r="O366" s="78"/>
      <c r="P366" s="80">
        <v>223.77</v>
      </c>
    </row>
    <row r="367" spans="1:16" x14ac:dyDescent="0.25">
      <c r="A367" s="72" t="s">
        <v>371</v>
      </c>
      <c r="B367" s="72" t="s">
        <v>713</v>
      </c>
      <c r="C367" s="74">
        <v>2017</v>
      </c>
      <c r="D367" s="81">
        <v>259.26</v>
      </c>
      <c r="E367" s="72" t="s">
        <v>1958</v>
      </c>
      <c r="F367" s="76" t="s">
        <v>1959</v>
      </c>
      <c r="G367" s="72" t="s">
        <v>2176</v>
      </c>
      <c r="H367" s="72" t="s">
        <v>1905</v>
      </c>
      <c r="I367" s="72" t="s">
        <v>2195</v>
      </c>
      <c r="J367" s="89">
        <v>33.39</v>
      </c>
      <c r="K367" s="72" t="s">
        <v>2196</v>
      </c>
      <c r="L367" s="81">
        <v>4.75</v>
      </c>
      <c r="M367" s="78" t="s">
        <v>1824</v>
      </c>
      <c r="N367" s="78" t="s">
        <v>1825</v>
      </c>
      <c r="O367" s="78"/>
      <c r="P367" s="80">
        <v>259.26</v>
      </c>
    </row>
    <row r="368" spans="1:16" x14ac:dyDescent="0.25">
      <c r="A368" s="72" t="s">
        <v>572</v>
      </c>
      <c r="B368" s="72" t="s">
        <v>2197</v>
      </c>
      <c r="C368" s="74">
        <v>2017</v>
      </c>
      <c r="D368" s="81">
        <v>158.81</v>
      </c>
      <c r="E368" s="72" t="s">
        <v>1958</v>
      </c>
      <c r="F368" s="76" t="s">
        <v>1959</v>
      </c>
      <c r="G368" s="72" t="s">
        <v>2176</v>
      </c>
      <c r="H368" s="72" t="s">
        <v>1905</v>
      </c>
      <c r="I368" s="72" t="s">
        <v>2198</v>
      </c>
      <c r="J368" s="89">
        <v>29</v>
      </c>
      <c r="K368" s="72" t="s">
        <v>2199</v>
      </c>
      <c r="L368" s="81">
        <v>2.91</v>
      </c>
      <c r="M368" s="78" t="s">
        <v>1824</v>
      </c>
      <c r="N368" s="78" t="s">
        <v>1825</v>
      </c>
      <c r="O368" s="78"/>
      <c r="P368" s="80">
        <v>158.81</v>
      </c>
    </row>
    <row r="369" spans="1:16" x14ac:dyDescent="0.25">
      <c r="A369" s="72" t="s">
        <v>570</v>
      </c>
      <c r="B369" s="72" t="s">
        <v>2200</v>
      </c>
      <c r="C369" s="74">
        <v>2017</v>
      </c>
      <c r="D369" s="81">
        <v>226.19</v>
      </c>
      <c r="E369" s="72" t="s">
        <v>1958</v>
      </c>
      <c r="F369" s="76" t="s">
        <v>1959</v>
      </c>
      <c r="G369" s="72" t="s">
        <v>2176</v>
      </c>
      <c r="H369" s="72" t="s">
        <v>1905</v>
      </c>
      <c r="I369" s="72" t="s">
        <v>2201</v>
      </c>
      <c r="J369" s="89">
        <v>39.46</v>
      </c>
      <c r="K369" s="72" t="s">
        <v>2202</v>
      </c>
      <c r="L369" s="81">
        <v>5.04</v>
      </c>
      <c r="M369" s="78" t="s">
        <v>1824</v>
      </c>
      <c r="N369" s="78" t="s">
        <v>1825</v>
      </c>
      <c r="O369" s="78"/>
      <c r="P369" s="80">
        <v>226.19</v>
      </c>
    </row>
    <row r="370" spans="1:16" x14ac:dyDescent="0.25">
      <c r="A370" s="92" t="s">
        <v>2553</v>
      </c>
      <c r="B370" s="92" t="s">
        <v>2554</v>
      </c>
      <c r="C370" s="74">
        <v>2017</v>
      </c>
      <c r="D370" s="81">
        <v>254.89</v>
      </c>
      <c r="E370" s="72" t="s">
        <v>1958</v>
      </c>
      <c r="F370" s="76" t="s">
        <v>1959</v>
      </c>
      <c r="G370" s="72"/>
      <c r="H370" s="72" t="s">
        <v>1905</v>
      </c>
      <c r="I370" s="72" t="s">
        <v>2555</v>
      </c>
      <c r="J370" s="81">
        <v>41.82</v>
      </c>
      <c r="K370" s="72" t="s">
        <v>2556</v>
      </c>
      <c r="L370" s="81">
        <v>4.87</v>
      </c>
      <c r="M370" s="78" t="s">
        <v>1824</v>
      </c>
      <c r="N370" s="78" t="s">
        <v>1825</v>
      </c>
      <c r="O370" s="93" t="s">
        <v>1826</v>
      </c>
      <c r="P370" s="80">
        <v>254.89</v>
      </c>
    </row>
    <row r="371" spans="1:16" x14ac:dyDescent="0.25">
      <c r="A371" s="92" t="s">
        <v>2557</v>
      </c>
      <c r="B371" s="92" t="s">
        <v>2558</v>
      </c>
      <c r="C371" s="74">
        <v>2017</v>
      </c>
      <c r="D371" s="81">
        <v>246.48</v>
      </c>
      <c r="E371" s="72" t="s">
        <v>1958</v>
      </c>
      <c r="F371" s="76" t="s">
        <v>1959</v>
      </c>
      <c r="G371" s="72"/>
      <c r="H371" s="72" t="s">
        <v>1905</v>
      </c>
      <c r="I371" s="72" t="s">
        <v>2559</v>
      </c>
      <c r="J371" s="81">
        <v>41.82</v>
      </c>
      <c r="K371" s="72" t="s">
        <v>2560</v>
      </c>
      <c r="L371" s="81">
        <v>4.87</v>
      </c>
      <c r="M371" s="78" t="s">
        <v>1824</v>
      </c>
      <c r="N371" s="78" t="s">
        <v>1825</v>
      </c>
      <c r="O371" s="93" t="s">
        <v>1826</v>
      </c>
      <c r="P371" s="80">
        <v>246.48</v>
      </c>
    </row>
    <row r="372" spans="1:16" x14ac:dyDescent="0.25">
      <c r="A372" s="92" t="s">
        <v>2561</v>
      </c>
      <c r="B372" s="92" t="s">
        <v>2562</v>
      </c>
      <c r="C372" s="74">
        <v>2017</v>
      </c>
      <c r="D372" s="81">
        <v>359.02</v>
      </c>
      <c r="E372" s="72" t="s">
        <v>1958</v>
      </c>
      <c r="F372" s="76" t="s">
        <v>1959</v>
      </c>
      <c r="G372" s="72"/>
      <c r="H372" s="72" t="s">
        <v>1905</v>
      </c>
      <c r="I372" s="72" t="s">
        <v>2563</v>
      </c>
      <c r="J372" s="81">
        <v>43.14</v>
      </c>
      <c r="K372" s="72" t="s">
        <v>2564</v>
      </c>
      <c r="L372" s="81">
        <v>7.03</v>
      </c>
      <c r="M372" s="78" t="s">
        <v>1824</v>
      </c>
      <c r="N372" s="78" t="s">
        <v>1825</v>
      </c>
      <c r="O372" s="93" t="s">
        <v>1826</v>
      </c>
      <c r="P372" s="80">
        <v>359.02</v>
      </c>
    </row>
    <row r="373" spans="1:16" x14ac:dyDescent="0.25">
      <c r="A373" s="92" t="s">
        <v>2565</v>
      </c>
      <c r="B373" s="92" t="s">
        <v>2566</v>
      </c>
      <c r="C373" s="74">
        <v>2017</v>
      </c>
      <c r="D373" s="81">
        <v>236.55</v>
      </c>
      <c r="E373" s="72" t="s">
        <v>1958</v>
      </c>
      <c r="F373" s="76" t="s">
        <v>1959</v>
      </c>
      <c r="G373" s="72"/>
      <c r="H373" s="72" t="s">
        <v>1905</v>
      </c>
      <c r="I373" s="72" t="s">
        <v>2567</v>
      </c>
      <c r="J373" s="81">
        <v>39.06</v>
      </c>
      <c r="K373" s="72" t="s">
        <v>2568</v>
      </c>
      <c r="L373" s="81">
        <v>2.88</v>
      </c>
      <c r="M373" s="78" t="s">
        <v>1824</v>
      </c>
      <c r="N373" s="78" t="s">
        <v>1825</v>
      </c>
      <c r="O373" s="93" t="s">
        <v>1826</v>
      </c>
      <c r="P373" s="80">
        <v>236.55</v>
      </c>
    </row>
    <row r="374" spans="1:16" x14ac:dyDescent="0.25">
      <c r="A374" s="72" t="s">
        <v>384</v>
      </c>
      <c r="B374" s="72" t="s">
        <v>720</v>
      </c>
      <c r="C374" s="74">
        <v>2017</v>
      </c>
      <c r="D374" s="81">
        <v>244.84</v>
      </c>
      <c r="E374" s="72" t="s">
        <v>1958</v>
      </c>
      <c r="F374" s="76" t="s">
        <v>1959</v>
      </c>
      <c r="G374" s="72" t="s">
        <v>2176</v>
      </c>
      <c r="H374" s="72" t="s">
        <v>1905</v>
      </c>
      <c r="I374" s="72" t="s">
        <v>2203</v>
      </c>
      <c r="J374" s="89">
        <v>31.7</v>
      </c>
      <c r="K374" s="72" t="s">
        <v>2204</v>
      </c>
      <c r="L374" s="81">
        <v>2.35</v>
      </c>
      <c r="M374" s="78" t="s">
        <v>1824</v>
      </c>
      <c r="N374" s="78" t="s">
        <v>1825</v>
      </c>
      <c r="O374" s="78"/>
      <c r="P374" s="80">
        <v>244.84</v>
      </c>
    </row>
    <row r="375" spans="1:16" x14ac:dyDescent="0.25">
      <c r="A375" s="72" t="s">
        <v>130</v>
      </c>
      <c r="B375" s="72" t="s">
        <v>721</v>
      </c>
      <c r="C375" s="74">
        <v>2017</v>
      </c>
      <c r="D375" s="81">
        <v>280.37</v>
      </c>
      <c r="E375" s="72" t="s">
        <v>1958</v>
      </c>
      <c r="F375" s="76" t="s">
        <v>1959</v>
      </c>
      <c r="G375" s="72" t="s">
        <v>2176</v>
      </c>
      <c r="H375" s="72" t="s">
        <v>1905</v>
      </c>
      <c r="I375" s="72" t="s">
        <v>2205</v>
      </c>
      <c r="J375" s="89">
        <v>33.39</v>
      </c>
      <c r="K375" s="72" t="s">
        <v>2206</v>
      </c>
      <c r="L375" s="81">
        <v>3.68</v>
      </c>
      <c r="M375" s="78" t="s">
        <v>1824</v>
      </c>
      <c r="N375" s="78" t="s">
        <v>1825</v>
      </c>
      <c r="O375" s="78"/>
      <c r="P375" s="80">
        <v>280.37</v>
      </c>
    </row>
    <row r="376" spans="1:16" x14ac:dyDescent="0.25">
      <c r="A376" s="72" t="s">
        <v>2207</v>
      </c>
      <c r="B376" s="72" t="s">
        <v>2208</v>
      </c>
      <c r="C376" s="74">
        <v>2017</v>
      </c>
      <c r="D376" s="81">
        <v>228.29</v>
      </c>
      <c r="E376" s="72" t="s">
        <v>1958</v>
      </c>
      <c r="F376" s="76" t="s">
        <v>1959</v>
      </c>
      <c r="G376" s="72" t="s">
        <v>2209</v>
      </c>
      <c r="H376" s="72" t="s">
        <v>1905</v>
      </c>
      <c r="I376" s="72" t="s">
        <v>2210</v>
      </c>
      <c r="J376" s="89">
        <v>32.46</v>
      </c>
      <c r="K376" s="72" t="s">
        <v>2211</v>
      </c>
      <c r="L376" s="81">
        <v>3.68</v>
      </c>
      <c r="M376" s="78" t="s">
        <v>1824</v>
      </c>
      <c r="N376" s="78" t="s">
        <v>1825</v>
      </c>
      <c r="O376" s="78"/>
      <c r="P376" s="80">
        <v>228.29</v>
      </c>
    </row>
    <row r="377" spans="1:16" x14ac:dyDescent="0.25">
      <c r="A377" s="72" t="s">
        <v>375</v>
      </c>
      <c r="B377" s="72" t="s">
        <v>2212</v>
      </c>
      <c r="C377" s="74">
        <v>2017</v>
      </c>
      <c r="D377" s="81">
        <v>78.510000000000005</v>
      </c>
      <c r="E377" s="72" t="s">
        <v>1958</v>
      </c>
      <c r="F377" s="76" t="s">
        <v>1959</v>
      </c>
      <c r="G377" s="72" t="s">
        <v>2176</v>
      </c>
      <c r="H377" s="72" t="s">
        <v>1905</v>
      </c>
      <c r="I377" s="72" t="s">
        <v>2213</v>
      </c>
      <c r="J377" s="89">
        <v>18.079999999999998</v>
      </c>
      <c r="K377" s="72" t="s">
        <v>2214</v>
      </c>
      <c r="L377" s="89">
        <v>2.11</v>
      </c>
      <c r="M377" s="78" t="s">
        <v>1824</v>
      </c>
      <c r="N377" s="78" t="s">
        <v>1825</v>
      </c>
      <c r="O377" s="78"/>
      <c r="P377" s="80">
        <v>78.510000000000005</v>
      </c>
    </row>
    <row r="378" spans="1:16" x14ac:dyDescent="0.25">
      <c r="A378" s="72" t="s">
        <v>295</v>
      </c>
      <c r="B378" s="72" t="s">
        <v>2215</v>
      </c>
      <c r="C378" s="74">
        <v>2017</v>
      </c>
      <c r="D378" s="81">
        <v>102.61</v>
      </c>
      <c r="E378" s="72" t="s">
        <v>1958</v>
      </c>
      <c r="F378" s="76" t="s">
        <v>1959</v>
      </c>
      <c r="G378" s="72" t="s">
        <v>2176</v>
      </c>
      <c r="H378" s="72" t="s">
        <v>1905</v>
      </c>
      <c r="I378" s="72" t="s">
        <v>2216</v>
      </c>
      <c r="J378" s="89">
        <v>28.15</v>
      </c>
      <c r="K378" s="72" t="s">
        <v>2217</v>
      </c>
      <c r="L378" s="89">
        <v>2.7</v>
      </c>
      <c r="M378" s="78" t="s">
        <v>1824</v>
      </c>
      <c r="N378" s="78" t="s">
        <v>1825</v>
      </c>
      <c r="O378" s="78"/>
      <c r="P378" s="80">
        <v>102.61</v>
      </c>
    </row>
    <row r="379" spans="1:16" x14ac:dyDescent="0.25">
      <c r="A379" s="72" t="s">
        <v>315</v>
      </c>
      <c r="B379" s="72" t="s">
        <v>2218</v>
      </c>
      <c r="C379" s="74">
        <v>2017</v>
      </c>
      <c r="D379" s="81">
        <v>115.78</v>
      </c>
      <c r="E379" s="72" t="s">
        <v>1958</v>
      </c>
      <c r="F379" s="76" t="s">
        <v>1959</v>
      </c>
      <c r="G379" s="72" t="s">
        <v>2176</v>
      </c>
      <c r="H379" s="72" t="s">
        <v>1905</v>
      </c>
      <c r="I379" s="72" t="s">
        <v>2219</v>
      </c>
      <c r="J379" s="89">
        <v>18.079999999999998</v>
      </c>
      <c r="K379" s="72" t="s">
        <v>2220</v>
      </c>
      <c r="L379" s="89">
        <v>2.11</v>
      </c>
      <c r="M379" s="78" t="s">
        <v>1824</v>
      </c>
      <c r="N379" s="78" t="s">
        <v>1825</v>
      </c>
      <c r="O379" s="78"/>
      <c r="P379" s="80">
        <v>115.78</v>
      </c>
    </row>
    <row r="380" spans="1:16" x14ac:dyDescent="0.25">
      <c r="A380" s="72" t="s">
        <v>70</v>
      </c>
      <c r="B380" s="72" t="s">
        <v>2221</v>
      </c>
      <c r="C380" s="74">
        <v>2017</v>
      </c>
      <c r="D380" s="81">
        <v>137.76</v>
      </c>
      <c r="E380" s="72" t="s">
        <v>1958</v>
      </c>
      <c r="F380" s="76" t="s">
        <v>1959</v>
      </c>
      <c r="G380" s="72" t="s">
        <v>2176</v>
      </c>
      <c r="H380" s="72" t="s">
        <v>1905</v>
      </c>
      <c r="I380" s="72" t="s">
        <v>2222</v>
      </c>
      <c r="J380" s="89">
        <v>28.15</v>
      </c>
      <c r="K380" s="72" t="s">
        <v>2223</v>
      </c>
      <c r="L380" s="89">
        <v>2.7</v>
      </c>
      <c r="M380" s="78" t="s">
        <v>1824</v>
      </c>
      <c r="N380" s="78" t="s">
        <v>1825</v>
      </c>
      <c r="O380" s="78"/>
      <c r="P380" s="80">
        <v>137.76</v>
      </c>
    </row>
    <row r="381" spans="1:16" x14ac:dyDescent="0.25">
      <c r="A381" s="72" t="s">
        <v>213</v>
      </c>
      <c r="B381" s="72" t="s">
        <v>2224</v>
      </c>
      <c r="C381" s="74">
        <v>2017</v>
      </c>
      <c r="D381" s="81">
        <v>126.06</v>
      </c>
      <c r="E381" s="72" t="s">
        <v>1958</v>
      </c>
      <c r="F381" s="76" t="s">
        <v>1959</v>
      </c>
      <c r="G381" s="72" t="s">
        <v>2176</v>
      </c>
      <c r="H381" s="72" t="s">
        <v>1905</v>
      </c>
      <c r="I381" s="72" t="s">
        <v>2225</v>
      </c>
      <c r="J381" s="89">
        <v>24.05</v>
      </c>
      <c r="K381" s="72" t="s">
        <v>2226</v>
      </c>
      <c r="L381" s="89">
        <v>5.17</v>
      </c>
      <c r="M381" s="78" t="s">
        <v>1824</v>
      </c>
      <c r="N381" s="78" t="s">
        <v>1825</v>
      </c>
      <c r="O381" s="78"/>
      <c r="P381" s="80">
        <v>126.06</v>
      </c>
    </row>
    <row r="382" spans="1:16" x14ac:dyDescent="0.25">
      <c r="A382" s="72" t="s">
        <v>322</v>
      </c>
      <c r="B382" s="72" t="s">
        <v>2227</v>
      </c>
      <c r="C382" s="74">
        <v>2017</v>
      </c>
      <c r="D382" s="81">
        <v>150.76</v>
      </c>
      <c r="E382" s="72" t="s">
        <v>1958</v>
      </c>
      <c r="F382" s="76" t="s">
        <v>1959</v>
      </c>
      <c r="G382" s="72" t="s">
        <v>2176</v>
      </c>
      <c r="H382" s="72" t="s">
        <v>1905</v>
      </c>
      <c r="I382" s="72" t="s">
        <v>2228</v>
      </c>
      <c r="J382" s="89">
        <v>34.119999999999997</v>
      </c>
      <c r="K382" s="72" t="s">
        <v>2229</v>
      </c>
      <c r="L382" s="89">
        <v>5.64</v>
      </c>
      <c r="M382" s="78" t="s">
        <v>1824</v>
      </c>
      <c r="N382" s="78" t="s">
        <v>1825</v>
      </c>
      <c r="O382" s="78"/>
      <c r="P382" s="80">
        <v>150.76</v>
      </c>
    </row>
    <row r="383" spans="1:16" x14ac:dyDescent="0.25">
      <c r="A383" s="72" t="s">
        <v>335</v>
      </c>
      <c r="B383" s="72" t="s">
        <v>2230</v>
      </c>
      <c r="C383" s="74">
        <v>2017</v>
      </c>
      <c r="D383" s="81">
        <v>145.34</v>
      </c>
      <c r="E383" s="72" t="s">
        <v>1958</v>
      </c>
      <c r="F383" s="76" t="s">
        <v>1959</v>
      </c>
      <c r="G383" s="72" t="s">
        <v>2176</v>
      </c>
      <c r="H383" s="72" t="s">
        <v>1905</v>
      </c>
      <c r="I383" s="72" t="s">
        <v>2231</v>
      </c>
      <c r="J383" s="89">
        <v>24.05</v>
      </c>
      <c r="K383" s="72" t="s">
        <v>2232</v>
      </c>
      <c r="L383" s="89">
        <v>5.17</v>
      </c>
      <c r="M383" s="78" t="s">
        <v>1824</v>
      </c>
      <c r="N383" s="78" t="s">
        <v>1825</v>
      </c>
      <c r="O383" s="78"/>
      <c r="P383" s="80">
        <v>145.34</v>
      </c>
    </row>
    <row r="384" spans="1:16" x14ac:dyDescent="0.25">
      <c r="A384" s="72" t="s">
        <v>320</v>
      </c>
      <c r="B384" s="72" t="s">
        <v>2233</v>
      </c>
      <c r="C384" s="74">
        <v>2017</v>
      </c>
      <c r="D384" s="81">
        <v>171.37</v>
      </c>
      <c r="E384" s="72" t="s">
        <v>1958</v>
      </c>
      <c r="F384" s="76" t="s">
        <v>1959</v>
      </c>
      <c r="G384" s="72" t="s">
        <v>2176</v>
      </c>
      <c r="H384" s="72" t="s">
        <v>1905</v>
      </c>
      <c r="I384" s="72" t="s">
        <v>2234</v>
      </c>
      <c r="J384" s="89">
        <v>34.119999999999997</v>
      </c>
      <c r="K384" s="72" t="s">
        <v>2235</v>
      </c>
      <c r="L384" s="89">
        <v>5.64</v>
      </c>
      <c r="M384" s="78" t="s">
        <v>1824</v>
      </c>
      <c r="N384" s="78" t="s">
        <v>1825</v>
      </c>
      <c r="O384" s="78"/>
      <c r="P384" s="80">
        <v>171.37</v>
      </c>
    </row>
    <row r="385" spans="1:16" x14ac:dyDescent="0.25">
      <c r="A385" s="72" t="s">
        <v>194</v>
      </c>
      <c r="B385" s="72" t="s">
        <v>2236</v>
      </c>
      <c r="C385" s="74">
        <v>2017</v>
      </c>
      <c r="D385" s="81">
        <v>157.12</v>
      </c>
      <c r="E385" s="72" t="s">
        <v>1958</v>
      </c>
      <c r="F385" s="76" t="s">
        <v>1959</v>
      </c>
      <c r="G385" s="72" t="s">
        <v>2176</v>
      </c>
      <c r="H385" s="72" t="s">
        <v>1905</v>
      </c>
      <c r="I385" s="72" t="s">
        <v>2237</v>
      </c>
      <c r="J385" s="89">
        <v>32.72</v>
      </c>
      <c r="K385" s="72" t="s">
        <v>2238</v>
      </c>
      <c r="L385" s="89">
        <v>5.17</v>
      </c>
      <c r="M385" s="78" t="s">
        <v>1824</v>
      </c>
      <c r="N385" s="78" t="s">
        <v>1825</v>
      </c>
      <c r="O385" s="78"/>
      <c r="P385" s="80">
        <v>157.12</v>
      </c>
    </row>
    <row r="386" spans="1:16" x14ac:dyDescent="0.25">
      <c r="A386" s="72" t="s">
        <v>346</v>
      </c>
      <c r="B386" s="72" t="s">
        <v>2239</v>
      </c>
      <c r="C386" s="74">
        <v>2017</v>
      </c>
      <c r="D386" s="81">
        <v>183.63</v>
      </c>
      <c r="E386" s="72" t="s">
        <v>1958</v>
      </c>
      <c r="F386" s="76" t="s">
        <v>1959</v>
      </c>
      <c r="G386" s="72" t="s">
        <v>2176</v>
      </c>
      <c r="H386" s="72" t="s">
        <v>1905</v>
      </c>
      <c r="I386" s="72" t="s">
        <v>2240</v>
      </c>
      <c r="J386" s="89">
        <v>43.89</v>
      </c>
      <c r="K386" s="72" t="s">
        <v>2241</v>
      </c>
      <c r="L386" s="89">
        <v>5.64</v>
      </c>
      <c r="M386" s="78" t="s">
        <v>1824</v>
      </c>
      <c r="N386" s="78" t="s">
        <v>1825</v>
      </c>
      <c r="O386" s="78"/>
      <c r="P386" s="80">
        <v>183.63</v>
      </c>
    </row>
    <row r="387" spans="1:16" x14ac:dyDescent="0.25">
      <c r="A387" s="72" t="s">
        <v>154</v>
      </c>
      <c r="B387" s="72" t="s">
        <v>2242</v>
      </c>
      <c r="C387" s="74">
        <v>2017</v>
      </c>
      <c r="D387" s="81">
        <v>213.28</v>
      </c>
      <c r="E387" s="72" t="s">
        <v>1958</v>
      </c>
      <c r="F387" s="76" t="s">
        <v>1959</v>
      </c>
      <c r="G387" s="72" t="s">
        <v>2176</v>
      </c>
      <c r="H387" s="72" t="s">
        <v>1905</v>
      </c>
      <c r="I387" s="72" t="s">
        <v>2243</v>
      </c>
      <c r="J387" s="89">
        <v>29.68</v>
      </c>
      <c r="K387" s="72" t="s">
        <v>2244</v>
      </c>
      <c r="L387" s="89">
        <v>5.17</v>
      </c>
      <c r="M387" s="78" t="s">
        <v>1824</v>
      </c>
      <c r="N387" s="78" t="s">
        <v>1825</v>
      </c>
      <c r="O387" s="78"/>
      <c r="P387" s="80">
        <v>213.28</v>
      </c>
    </row>
    <row r="388" spans="1:16" x14ac:dyDescent="0.25">
      <c r="A388" s="72" t="s">
        <v>243</v>
      </c>
      <c r="B388" s="72" t="s">
        <v>2245</v>
      </c>
      <c r="C388" s="74">
        <v>2017</v>
      </c>
      <c r="D388" s="81">
        <v>240.43</v>
      </c>
      <c r="E388" s="72" t="s">
        <v>1958</v>
      </c>
      <c r="F388" s="76" t="s">
        <v>1959</v>
      </c>
      <c r="G388" s="72" t="s">
        <v>2176</v>
      </c>
      <c r="H388" s="72" t="s">
        <v>1905</v>
      </c>
      <c r="I388" s="72" t="s">
        <v>2246</v>
      </c>
      <c r="J388" s="89">
        <v>38.92</v>
      </c>
      <c r="K388" s="72" t="s">
        <v>2247</v>
      </c>
      <c r="L388" s="89">
        <v>5.64</v>
      </c>
      <c r="M388" s="78" t="s">
        <v>1824</v>
      </c>
      <c r="N388" s="78" t="s">
        <v>1825</v>
      </c>
      <c r="O388" s="78"/>
      <c r="P388" s="80">
        <v>240.43</v>
      </c>
    </row>
    <row r="389" spans="1:16" x14ac:dyDescent="0.25">
      <c r="A389" s="72" t="s">
        <v>260</v>
      </c>
      <c r="B389" s="72" t="s">
        <v>2248</v>
      </c>
      <c r="C389" s="74">
        <v>2017</v>
      </c>
      <c r="D389" s="81">
        <v>284.49</v>
      </c>
      <c r="E389" s="72" t="s">
        <v>1958</v>
      </c>
      <c r="F389" s="76" t="s">
        <v>1959</v>
      </c>
      <c r="G389" s="72" t="s">
        <v>2176</v>
      </c>
      <c r="H389" s="72" t="s">
        <v>1905</v>
      </c>
      <c r="I389" s="72" t="s">
        <v>2249</v>
      </c>
      <c r="J389" s="89">
        <v>33.94</v>
      </c>
      <c r="K389" s="72" t="s">
        <v>2250</v>
      </c>
      <c r="L389" s="89">
        <v>5.17</v>
      </c>
      <c r="M389" s="78" t="s">
        <v>1824</v>
      </c>
      <c r="N389" s="78" t="s">
        <v>1825</v>
      </c>
      <c r="O389" s="78"/>
      <c r="P389" s="80">
        <v>284.49</v>
      </c>
    </row>
    <row r="390" spans="1:16" x14ac:dyDescent="0.25">
      <c r="A390" s="72" t="s">
        <v>151</v>
      </c>
      <c r="B390" s="72" t="s">
        <v>2251</v>
      </c>
      <c r="C390" s="74">
        <v>2017</v>
      </c>
      <c r="D390" s="81">
        <v>327.08999999999997</v>
      </c>
      <c r="E390" s="72" t="s">
        <v>1958</v>
      </c>
      <c r="F390" s="76" t="s">
        <v>1959</v>
      </c>
      <c r="G390" s="72" t="s">
        <v>2176</v>
      </c>
      <c r="H390" s="72" t="s">
        <v>1905</v>
      </c>
      <c r="I390" s="72" t="s">
        <v>2252</v>
      </c>
      <c r="J390" s="89">
        <v>48.92</v>
      </c>
      <c r="K390" s="72" t="s">
        <v>2253</v>
      </c>
      <c r="L390" s="89">
        <v>5.64</v>
      </c>
      <c r="M390" s="78" t="s">
        <v>1824</v>
      </c>
      <c r="N390" s="78" t="s">
        <v>1825</v>
      </c>
      <c r="O390" s="78"/>
      <c r="P390" s="80">
        <v>327.08999999999997</v>
      </c>
    </row>
    <row r="391" spans="1:16" x14ac:dyDescent="0.25">
      <c r="A391" s="72" t="s">
        <v>2254</v>
      </c>
      <c r="B391" s="72" t="s">
        <v>2255</v>
      </c>
      <c r="C391" s="74">
        <v>2017</v>
      </c>
      <c r="D391" s="81">
        <v>549.4</v>
      </c>
      <c r="E391" s="72" t="s">
        <v>1958</v>
      </c>
      <c r="F391" s="76" t="s">
        <v>1959</v>
      </c>
      <c r="G391" s="72" t="s">
        <v>2176</v>
      </c>
      <c r="H391" s="72" t="s">
        <v>1905</v>
      </c>
      <c r="I391" s="72" t="s">
        <v>2256</v>
      </c>
      <c r="J391" s="89">
        <v>58.32</v>
      </c>
      <c r="K391" s="72" t="s">
        <v>2257</v>
      </c>
      <c r="L391" s="89">
        <v>8.01</v>
      </c>
      <c r="M391" s="78" t="s">
        <v>1824</v>
      </c>
      <c r="N391" s="78" t="s">
        <v>1825</v>
      </c>
      <c r="O391" s="78"/>
      <c r="P391" s="80">
        <v>549.4</v>
      </c>
    </row>
    <row r="392" spans="1:16" x14ac:dyDescent="0.25">
      <c r="A392" s="72" t="s">
        <v>175</v>
      </c>
      <c r="B392" s="72" t="s">
        <v>736</v>
      </c>
      <c r="C392" s="74">
        <v>2017</v>
      </c>
      <c r="D392" s="81">
        <v>67.53</v>
      </c>
      <c r="E392" s="72" t="s">
        <v>1958</v>
      </c>
      <c r="F392" s="76" t="s">
        <v>1959</v>
      </c>
      <c r="G392" s="72" t="s">
        <v>2167</v>
      </c>
      <c r="H392" s="72" t="s">
        <v>1905</v>
      </c>
      <c r="I392" s="72" t="s">
        <v>2258</v>
      </c>
      <c r="J392" s="89">
        <v>24.32</v>
      </c>
      <c r="K392" s="72" t="s">
        <v>2259</v>
      </c>
      <c r="L392" s="89">
        <v>1.0900000000000001</v>
      </c>
      <c r="M392" s="78" t="s">
        <v>1824</v>
      </c>
      <c r="N392" s="78" t="s">
        <v>1825</v>
      </c>
      <c r="O392" s="78"/>
      <c r="P392" s="80">
        <v>67.53</v>
      </c>
    </row>
    <row r="393" spans="1:16" x14ac:dyDescent="0.25">
      <c r="A393" s="72" t="s">
        <v>277</v>
      </c>
      <c r="B393" s="72" t="s">
        <v>737</v>
      </c>
      <c r="C393" s="74">
        <v>2017</v>
      </c>
      <c r="D393" s="81">
        <v>103.59</v>
      </c>
      <c r="E393" s="72" t="s">
        <v>1958</v>
      </c>
      <c r="F393" s="76" t="s">
        <v>1959</v>
      </c>
      <c r="G393" s="72" t="s">
        <v>2167</v>
      </c>
      <c r="H393" s="72" t="s">
        <v>1905</v>
      </c>
      <c r="I393" s="72" t="s">
        <v>2260</v>
      </c>
      <c r="J393" s="89">
        <v>31.72</v>
      </c>
      <c r="K393" s="72" t="s">
        <v>2261</v>
      </c>
      <c r="L393" s="89">
        <v>2.0099999999999998</v>
      </c>
      <c r="M393" s="78" t="s">
        <v>1824</v>
      </c>
      <c r="N393" s="78" t="s">
        <v>1825</v>
      </c>
      <c r="O393" s="78"/>
      <c r="P393" s="80">
        <v>103.59</v>
      </c>
    </row>
    <row r="394" spans="1:16" x14ac:dyDescent="0.25">
      <c r="A394" s="72" t="s">
        <v>67</v>
      </c>
      <c r="B394" s="72" t="s">
        <v>740</v>
      </c>
      <c r="C394" s="74">
        <v>2017</v>
      </c>
      <c r="D394" s="81">
        <v>84.94</v>
      </c>
      <c r="E394" s="72" t="s">
        <v>1958</v>
      </c>
      <c r="F394" s="76" t="s">
        <v>1959</v>
      </c>
      <c r="G394" s="72" t="s">
        <v>2167</v>
      </c>
      <c r="H394" s="72" t="s">
        <v>1905</v>
      </c>
      <c r="I394" s="72" t="s">
        <v>2262</v>
      </c>
      <c r="J394" s="89">
        <v>24.32</v>
      </c>
      <c r="K394" s="72" t="s">
        <v>2263</v>
      </c>
      <c r="L394" s="89">
        <v>1.0900000000000001</v>
      </c>
      <c r="M394" s="78" t="s">
        <v>1824</v>
      </c>
      <c r="N394" s="78" t="s">
        <v>1825</v>
      </c>
      <c r="O394" s="78"/>
      <c r="P394" s="80">
        <v>84.94</v>
      </c>
    </row>
    <row r="395" spans="1:16" x14ac:dyDescent="0.25">
      <c r="A395" s="72" t="s">
        <v>149</v>
      </c>
      <c r="B395" s="72" t="s">
        <v>741</v>
      </c>
      <c r="C395" s="74">
        <v>2017</v>
      </c>
      <c r="D395" s="81">
        <v>121.01</v>
      </c>
      <c r="E395" s="72" t="s">
        <v>1958</v>
      </c>
      <c r="F395" s="76" t="s">
        <v>1959</v>
      </c>
      <c r="G395" s="72" t="s">
        <v>2167</v>
      </c>
      <c r="H395" s="72" t="s">
        <v>1905</v>
      </c>
      <c r="I395" s="72" t="s">
        <v>2264</v>
      </c>
      <c r="J395" s="89">
        <v>31.72</v>
      </c>
      <c r="K395" s="72" t="s">
        <v>2265</v>
      </c>
      <c r="L395" s="89">
        <v>2.0099999999999998</v>
      </c>
      <c r="M395" s="78" t="s">
        <v>1824</v>
      </c>
      <c r="N395" s="78" t="s">
        <v>1825</v>
      </c>
      <c r="O395" s="78"/>
      <c r="P395" s="80">
        <v>121.01</v>
      </c>
    </row>
    <row r="396" spans="1:16" x14ac:dyDescent="0.25">
      <c r="A396" s="72" t="s">
        <v>109</v>
      </c>
      <c r="B396" s="72" t="s">
        <v>756</v>
      </c>
      <c r="C396" s="74">
        <v>2017</v>
      </c>
      <c r="D396" s="81">
        <v>99.69</v>
      </c>
      <c r="E396" s="72" t="s">
        <v>1958</v>
      </c>
      <c r="F396" s="76" t="s">
        <v>1959</v>
      </c>
      <c r="G396" s="72" t="s">
        <v>2176</v>
      </c>
      <c r="H396" s="72" t="s">
        <v>1905</v>
      </c>
      <c r="I396" s="72" t="s">
        <v>2266</v>
      </c>
      <c r="J396" s="89">
        <v>24.32</v>
      </c>
      <c r="K396" s="72" t="s">
        <v>2267</v>
      </c>
      <c r="L396" s="89">
        <v>1.0900000000000001</v>
      </c>
      <c r="M396" s="78" t="s">
        <v>1824</v>
      </c>
      <c r="N396" s="78" t="s">
        <v>1825</v>
      </c>
      <c r="O396" s="78"/>
      <c r="P396" s="80">
        <v>99.69</v>
      </c>
    </row>
    <row r="397" spans="1:16" x14ac:dyDescent="0.25">
      <c r="A397" s="72" t="s">
        <v>75</v>
      </c>
      <c r="B397" s="72" t="s">
        <v>757</v>
      </c>
      <c r="C397" s="74">
        <v>2017</v>
      </c>
      <c r="D397" s="81">
        <v>135.75</v>
      </c>
      <c r="E397" s="72" t="s">
        <v>1958</v>
      </c>
      <c r="F397" s="76" t="s">
        <v>1959</v>
      </c>
      <c r="G397" s="72" t="s">
        <v>2176</v>
      </c>
      <c r="H397" s="72" t="s">
        <v>1905</v>
      </c>
      <c r="I397" s="72" t="s">
        <v>2268</v>
      </c>
      <c r="J397" s="89">
        <v>31.72</v>
      </c>
      <c r="K397" s="72" t="s">
        <v>2269</v>
      </c>
      <c r="L397" s="89">
        <v>2.0099999999999998</v>
      </c>
      <c r="M397" s="78" t="s">
        <v>1824</v>
      </c>
      <c r="N397" s="78" t="s">
        <v>1825</v>
      </c>
      <c r="O397" s="78"/>
      <c r="P397" s="80">
        <v>135.75</v>
      </c>
    </row>
    <row r="398" spans="1:16" x14ac:dyDescent="0.25">
      <c r="A398" s="72" t="s">
        <v>313</v>
      </c>
      <c r="B398" s="72" t="s">
        <v>758</v>
      </c>
      <c r="C398" s="74">
        <v>2017</v>
      </c>
      <c r="D398" s="81">
        <v>115.85</v>
      </c>
      <c r="E398" s="72" t="s">
        <v>1958</v>
      </c>
      <c r="F398" s="76" t="s">
        <v>1959</v>
      </c>
      <c r="G398" s="72" t="s">
        <v>2176</v>
      </c>
      <c r="H398" s="72" t="s">
        <v>1905</v>
      </c>
      <c r="I398" s="72" t="s">
        <v>2270</v>
      </c>
      <c r="J398" s="89">
        <v>24.32</v>
      </c>
      <c r="K398" s="72" t="s">
        <v>2271</v>
      </c>
      <c r="L398" s="89">
        <v>2.2599999999999998</v>
      </c>
      <c r="M398" s="78" t="s">
        <v>1824</v>
      </c>
      <c r="N398" s="78" t="s">
        <v>1825</v>
      </c>
      <c r="O398" s="78"/>
      <c r="P398" s="80">
        <v>115.85</v>
      </c>
    </row>
    <row r="399" spans="1:16" x14ac:dyDescent="0.25">
      <c r="A399" s="72" t="s">
        <v>115</v>
      </c>
      <c r="B399" s="72" t="s">
        <v>759</v>
      </c>
      <c r="C399" s="74">
        <v>2017</v>
      </c>
      <c r="D399" s="81">
        <v>151.91999999999999</v>
      </c>
      <c r="E399" s="72" t="s">
        <v>1958</v>
      </c>
      <c r="F399" s="76" t="s">
        <v>1959</v>
      </c>
      <c r="G399" s="72" t="s">
        <v>2176</v>
      </c>
      <c r="H399" s="72" t="s">
        <v>1905</v>
      </c>
      <c r="I399" s="72" t="s">
        <v>2272</v>
      </c>
      <c r="J399" s="89">
        <v>31.72</v>
      </c>
      <c r="K399" s="72" t="s">
        <v>2273</v>
      </c>
      <c r="L399" s="89">
        <v>3.18</v>
      </c>
      <c r="M399" s="78" t="s">
        <v>1824</v>
      </c>
      <c r="N399" s="78" t="s">
        <v>1825</v>
      </c>
      <c r="O399" s="78"/>
      <c r="P399" s="80">
        <v>151.91999999999999</v>
      </c>
    </row>
    <row r="400" spans="1:16" x14ac:dyDescent="0.25">
      <c r="A400" s="72" t="s">
        <v>192</v>
      </c>
      <c r="B400" s="72" t="s">
        <v>765</v>
      </c>
      <c r="C400" s="74">
        <v>2017</v>
      </c>
      <c r="D400" s="81">
        <v>113.22</v>
      </c>
      <c r="E400" s="72" t="s">
        <v>1958</v>
      </c>
      <c r="F400" s="76" t="s">
        <v>1959</v>
      </c>
      <c r="G400" s="72" t="s">
        <v>2176</v>
      </c>
      <c r="H400" s="72" t="s">
        <v>1905</v>
      </c>
      <c r="I400" s="72" t="s">
        <v>2274</v>
      </c>
      <c r="J400" s="89">
        <v>24.32</v>
      </c>
      <c r="K400" s="72" t="s">
        <v>2275</v>
      </c>
      <c r="L400" s="89">
        <v>1.0900000000000001</v>
      </c>
      <c r="M400" s="78" t="s">
        <v>1824</v>
      </c>
      <c r="N400" s="78" t="s">
        <v>1825</v>
      </c>
      <c r="O400" s="78"/>
      <c r="P400" s="80">
        <v>113.22</v>
      </c>
    </row>
    <row r="401" spans="1:16" x14ac:dyDescent="0.25">
      <c r="A401" s="72" t="s">
        <v>83</v>
      </c>
      <c r="B401" s="72" t="s">
        <v>766</v>
      </c>
      <c r="C401" s="74">
        <v>2017</v>
      </c>
      <c r="D401" s="81">
        <v>149.31</v>
      </c>
      <c r="E401" s="72" t="s">
        <v>1958</v>
      </c>
      <c r="F401" s="76" t="s">
        <v>1959</v>
      </c>
      <c r="G401" s="72" t="s">
        <v>2176</v>
      </c>
      <c r="H401" s="72" t="s">
        <v>1905</v>
      </c>
      <c r="I401" s="72" t="s">
        <v>2276</v>
      </c>
      <c r="J401" s="89">
        <v>31.72</v>
      </c>
      <c r="K401" s="72" t="s">
        <v>2277</v>
      </c>
      <c r="L401" s="89">
        <v>2.0099999999999998</v>
      </c>
      <c r="M401" s="78" t="s">
        <v>1824</v>
      </c>
      <c r="N401" s="78" t="s">
        <v>1825</v>
      </c>
      <c r="O401" s="78"/>
      <c r="P401" s="80">
        <v>149.31</v>
      </c>
    </row>
    <row r="402" spans="1:16" x14ac:dyDescent="0.25">
      <c r="A402" s="72" t="s">
        <v>185</v>
      </c>
      <c r="B402" s="72" t="s">
        <v>767</v>
      </c>
      <c r="C402" s="74">
        <v>2017</v>
      </c>
      <c r="D402" s="81">
        <v>131.11000000000001</v>
      </c>
      <c r="E402" s="72" t="s">
        <v>1958</v>
      </c>
      <c r="F402" s="76" t="s">
        <v>1959</v>
      </c>
      <c r="G402" s="72" t="s">
        <v>2176</v>
      </c>
      <c r="H402" s="72" t="s">
        <v>1905</v>
      </c>
      <c r="I402" s="72" t="s">
        <v>2278</v>
      </c>
      <c r="J402" s="89">
        <v>24.32</v>
      </c>
      <c r="K402" s="72" t="s">
        <v>2279</v>
      </c>
      <c r="L402" s="89">
        <v>2.2599999999999998</v>
      </c>
      <c r="M402" s="78" t="s">
        <v>1824</v>
      </c>
      <c r="N402" s="78" t="s">
        <v>1825</v>
      </c>
      <c r="O402" s="78"/>
      <c r="P402" s="80">
        <v>131.11000000000001</v>
      </c>
    </row>
    <row r="403" spans="1:16" x14ac:dyDescent="0.25">
      <c r="A403" s="72" t="s">
        <v>363</v>
      </c>
      <c r="B403" s="72" t="s">
        <v>768</v>
      </c>
      <c r="C403" s="74">
        <v>2017</v>
      </c>
      <c r="D403" s="81">
        <v>167.19</v>
      </c>
      <c r="E403" s="72" t="s">
        <v>1958</v>
      </c>
      <c r="F403" s="76" t="s">
        <v>1959</v>
      </c>
      <c r="G403" s="72" t="s">
        <v>2176</v>
      </c>
      <c r="H403" s="72" t="s">
        <v>1905</v>
      </c>
      <c r="I403" s="72" t="s">
        <v>2280</v>
      </c>
      <c r="J403" s="89">
        <v>31.72</v>
      </c>
      <c r="K403" s="72" t="s">
        <v>2281</v>
      </c>
      <c r="L403" s="89">
        <v>3.18</v>
      </c>
      <c r="M403" s="78" t="s">
        <v>1824</v>
      </c>
      <c r="N403" s="78" t="s">
        <v>1825</v>
      </c>
      <c r="O403" s="78"/>
      <c r="P403" s="80">
        <v>167.19</v>
      </c>
    </row>
    <row r="404" spans="1:16" x14ac:dyDescent="0.25">
      <c r="A404" s="72" t="s">
        <v>280</v>
      </c>
      <c r="B404" s="72" t="s">
        <v>2045</v>
      </c>
      <c r="C404" s="74">
        <v>2017</v>
      </c>
      <c r="D404" s="81">
        <v>136.63</v>
      </c>
      <c r="E404" s="72" t="s">
        <v>1958</v>
      </c>
      <c r="F404" s="76" t="s">
        <v>1959</v>
      </c>
      <c r="G404" s="72" t="s">
        <v>2176</v>
      </c>
      <c r="H404" s="72" t="s">
        <v>1905</v>
      </c>
      <c r="I404" s="72" t="s">
        <v>2282</v>
      </c>
      <c r="J404" s="89">
        <v>22.2</v>
      </c>
      <c r="K404" s="72" t="s">
        <v>2283</v>
      </c>
      <c r="L404" s="89">
        <v>4.93</v>
      </c>
      <c r="M404" s="78" t="s">
        <v>1824</v>
      </c>
      <c r="N404" s="78" t="s">
        <v>1825</v>
      </c>
      <c r="O404" s="78"/>
      <c r="P404" s="80">
        <v>136.63</v>
      </c>
    </row>
    <row r="405" spans="1:16" x14ac:dyDescent="0.25">
      <c r="A405" s="72" t="s">
        <v>170</v>
      </c>
      <c r="B405" s="72" t="s">
        <v>774</v>
      </c>
      <c r="C405" s="74">
        <v>2017</v>
      </c>
      <c r="D405" s="81">
        <v>185.99</v>
      </c>
      <c r="E405" s="72" t="s">
        <v>1958</v>
      </c>
      <c r="F405" s="76" t="s">
        <v>1959</v>
      </c>
      <c r="G405" s="72" t="s">
        <v>2176</v>
      </c>
      <c r="H405" s="72" t="s">
        <v>1905</v>
      </c>
      <c r="I405" s="72" t="s">
        <v>2284</v>
      </c>
      <c r="J405" s="89">
        <v>31.01</v>
      </c>
      <c r="K405" s="72" t="s">
        <v>2285</v>
      </c>
      <c r="L405" s="89">
        <v>5.73</v>
      </c>
      <c r="M405" s="78" t="s">
        <v>1824</v>
      </c>
      <c r="N405" s="78" t="s">
        <v>1825</v>
      </c>
      <c r="O405" s="78"/>
      <c r="P405" s="80">
        <v>185.99</v>
      </c>
    </row>
    <row r="406" spans="1:16" x14ac:dyDescent="0.25">
      <c r="A406" s="72" t="s">
        <v>226</v>
      </c>
      <c r="B406" s="72" t="s">
        <v>775</v>
      </c>
      <c r="C406" s="74">
        <v>2017</v>
      </c>
      <c r="D406" s="81">
        <v>159.56</v>
      </c>
      <c r="E406" s="72" t="s">
        <v>1958</v>
      </c>
      <c r="F406" s="76" t="s">
        <v>1959</v>
      </c>
      <c r="G406" s="72" t="s">
        <v>2176</v>
      </c>
      <c r="H406" s="72" t="s">
        <v>1905</v>
      </c>
      <c r="I406" s="72" t="s">
        <v>2286</v>
      </c>
      <c r="J406" s="89">
        <v>26.27</v>
      </c>
      <c r="K406" s="72" t="s">
        <v>2287</v>
      </c>
      <c r="L406" s="89">
        <v>7.4</v>
      </c>
      <c r="M406" s="78" t="s">
        <v>1824</v>
      </c>
      <c r="N406" s="78" t="s">
        <v>1825</v>
      </c>
      <c r="O406" s="78"/>
      <c r="P406" s="80">
        <v>159.56</v>
      </c>
    </row>
    <row r="407" spans="1:16" x14ac:dyDescent="0.25">
      <c r="A407" s="72" t="s">
        <v>73</v>
      </c>
      <c r="B407" s="72" t="s">
        <v>776</v>
      </c>
      <c r="C407" s="74">
        <v>2017</v>
      </c>
      <c r="D407" s="81">
        <v>208.92</v>
      </c>
      <c r="E407" s="72" t="s">
        <v>1958</v>
      </c>
      <c r="F407" s="76" t="s">
        <v>1959</v>
      </c>
      <c r="G407" s="72" t="s">
        <v>2176</v>
      </c>
      <c r="H407" s="72" t="s">
        <v>1905</v>
      </c>
      <c r="I407" s="72" t="s">
        <v>2288</v>
      </c>
      <c r="J407" s="89">
        <v>35.08</v>
      </c>
      <c r="K407" s="72" t="s">
        <v>2289</v>
      </c>
      <c r="L407" s="89">
        <v>8.19</v>
      </c>
      <c r="M407" s="78" t="s">
        <v>1824</v>
      </c>
      <c r="N407" s="78" t="s">
        <v>1825</v>
      </c>
      <c r="O407" s="78"/>
      <c r="P407" s="80">
        <v>208.92</v>
      </c>
    </row>
    <row r="408" spans="1:16" x14ac:dyDescent="0.25">
      <c r="A408" s="72" t="s">
        <v>368</v>
      </c>
      <c r="B408" s="72" t="s">
        <v>782</v>
      </c>
      <c r="C408" s="74">
        <v>2017</v>
      </c>
      <c r="D408" s="81">
        <v>129.53</v>
      </c>
      <c r="E408" s="72" t="s">
        <v>1958</v>
      </c>
      <c r="F408" s="76" t="s">
        <v>1959</v>
      </c>
      <c r="G408" s="72" t="s">
        <v>2176</v>
      </c>
      <c r="H408" s="72" t="s">
        <v>1905</v>
      </c>
      <c r="I408" s="72" t="s">
        <v>2290</v>
      </c>
      <c r="J408" s="89">
        <v>22.2</v>
      </c>
      <c r="K408" s="72" t="s">
        <v>2291</v>
      </c>
      <c r="L408" s="89">
        <v>2.95</v>
      </c>
      <c r="M408" s="78" t="s">
        <v>1824</v>
      </c>
      <c r="N408" s="78" t="s">
        <v>1825</v>
      </c>
      <c r="O408" s="78"/>
      <c r="P408" s="80">
        <v>129.53</v>
      </c>
    </row>
    <row r="409" spans="1:16" x14ac:dyDescent="0.25">
      <c r="A409" s="72" t="s">
        <v>50</v>
      </c>
      <c r="B409" s="72" t="s">
        <v>783</v>
      </c>
      <c r="C409" s="74">
        <v>2017</v>
      </c>
      <c r="D409" s="81">
        <v>178.85</v>
      </c>
      <c r="E409" s="72" t="s">
        <v>1958</v>
      </c>
      <c r="F409" s="76" t="s">
        <v>1959</v>
      </c>
      <c r="G409" s="72" t="s">
        <v>2176</v>
      </c>
      <c r="H409" s="72" t="s">
        <v>1905</v>
      </c>
      <c r="I409" s="72" t="s">
        <v>2292</v>
      </c>
      <c r="J409" s="89">
        <v>31.01</v>
      </c>
      <c r="K409" s="72" t="s">
        <v>2293</v>
      </c>
      <c r="L409" s="89">
        <v>3.72</v>
      </c>
      <c r="M409" s="78" t="s">
        <v>1824</v>
      </c>
      <c r="N409" s="78" t="s">
        <v>1825</v>
      </c>
      <c r="O409" s="78"/>
      <c r="P409" s="80">
        <v>178.85</v>
      </c>
    </row>
    <row r="410" spans="1:16" x14ac:dyDescent="0.25">
      <c r="A410" s="72" t="s">
        <v>91</v>
      </c>
      <c r="B410" s="72" t="s">
        <v>784</v>
      </c>
      <c r="C410" s="74">
        <v>2017</v>
      </c>
      <c r="D410" s="81">
        <v>153.37</v>
      </c>
      <c r="E410" s="72" t="s">
        <v>1958</v>
      </c>
      <c r="F410" s="76" t="s">
        <v>1959</v>
      </c>
      <c r="G410" s="72" t="s">
        <v>2176</v>
      </c>
      <c r="H410" s="72" t="s">
        <v>1905</v>
      </c>
      <c r="I410" s="72" t="s">
        <v>2294</v>
      </c>
      <c r="J410" s="89">
        <v>26.27</v>
      </c>
      <c r="K410" s="72" t="s">
        <v>2295</v>
      </c>
      <c r="L410" s="89">
        <v>5.31</v>
      </c>
      <c r="M410" s="78" t="s">
        <v>1824</v>
      </c>
      <c r="N410" s="78" t="s">
        <v>1825</v>
      </c>
      <c r="O410" s="78"/>
      <c r="P410" s="80">
        <v>153.37</v>
      </c>
    </row>
    <row r="411" spans="1:16" x14ac:dyDescent="0.25">
      <c r="A411" s="72" t="s">
        <v>60</v>
      </c>
      <c r="B411" s="72" t="s">
        <v>785</v>
      </c>
      <c r="C411" s="74">
        <v>2017</v>
      </c>
      <c r="D411" s="81">
        <v>202.7</v>
      </c>
      <c r="E411" s="72" t="s">
        <v>1958</v>
      </c>
      <c r="F411" s="76" t="s">
        <v>1959</v>
      </c>
      <c r="G411" s="72" t="s">
        <v>2176</v>
      </c>
      <c r="H411" s="72" t="s">
        <v>1905</v>
      </c>
      <c r="I411" s="72" t="s">
        <v>2296</v>
      </c>
      <c r="J411" s="89">
        <v>35.08</v>
      </c>
      <c r="K411" s="72" t="s">
        <v>2297</v>
      </c>
      <c r="L411" s="89">
        <v>6.08</v>
      </c>
      <c r="M411" s="78" t="s">
        <v>1824</v>
      </c>
      <c r="N411" s="78" t="s">
        <v>1825</v>
      </c>
      <c r="O411" s="78"/>
      <c r="P411" s="80">
        <v>202.7</v>
      </c>
    </row>
    <row r="412" spans="1:16" x14ac:dyDescent="0.25">
      <c r="A412" s="72" t="s">
        <v>81</v>
      </c>
      <c r="B412" s="72" t="s">
        <v>791</v>
      </c>
      <c r="C412" s="74">
        <v>2017</v>
      </c>
      <c r="D412" s="81">
        <v>168.15</v>
      </c>
      <c r="E412" s="72" t="s">
        <v>1958</v>
      </c>
      <c r="F412" s="76" t="s">
        <v>1959</v>
      </c>
      <c r="G412" s="72" t="s">
        <v>2176</v>
      </c>
      <c r="H412" s="72" t="s">
        <v>1905</v>
      </c>
      <c r="I412" s="72" t="s">
        <v>2298</v>
      </c>
      <c r="J412" s="89">
        <v>22.2</v>
      </c>
      <c r="K412" s="72" t="s">
        <v>2299</v>
      </c>
      <c r="L412" s="89">
        <v>4.93</v>
      </c>
      <c r="M412" s="78" t="s">
        <v>1824</v>
      </c>
      <c r="N412" s="78" t="s">
        <v>1825</v>
      </c>
      <c r="O412" s="78"/>
      <c r="P412" s="80">
        <v>168.15</v>
      </c>
    </row>
    <row r="413" spans="1:16" x14ac:dyDescent="0.25">
      <c r="A413" s="72" t="s">
        <v>120</v>
      </c>
      <c r="B413" s="72" t="s">
        <v>792</v>
      </c>
      <c r="C413" s="74">
        <v>2017</v>
      </c>
      <c r="D413" s="81">
        <v>251.58</v>
      </c>
      <c r="E413" s="72" t="s">
        <v>1958</v>
      </c>
      <c r="F413" s="76" t="s">
        <v>1959</v>
      </c>
      <c r="G413" s="72" t="s">
        <v>2176</v>
      </c>
      <c r="H413" s="72" t="s">
        <v>1905</v>
      </c>
      <c r="I413" s="72" t="s">
        <v>2300</v>
      </c>
      <c r="J413" s="89">
        <v>31.01</v>
      </c>
      <c r="K413" s="72" t="s">
        <v>2301</v>
      </c>
      <c r="L413" s="89">
        <v>5.73</v>
      </c>
      <c r="M413" s="78" t="s">
        <v>1824</v>
      </c>
      <c r="N413" s="78" t="s">
        <v>1825</v>
      </c>
      <c r="O413" s="78"/>
      <c r="P413" s="80">
        <v>251.58</v>
      </c>
    </row>
    <row r="414" spans="1:16" x14ac:dyDescent="0.25">
      <c r="A414" s="72" t="s">
        <v>382</v>
      </c>
      <c r="B414" s="72" t="s">
        <v>793</v>
      </c>
      <c r="C414" s="74">
        <v>2017</v>
      </c>
      <c r="D414" s="81">
        <v>197.17</v>
      </c>
      <c r="E414" s="72" t="s">
        <v>1958</v>
      </c>
      <c r="F414" s="76" t="s">
        <v>1959</v>
      </c>
      <c r="G414" s="72" t="s">
        <v>2176</v>
      </c>
      <c r="H414" s="72" t="s">
        <v>1905</v>
      </c>
      <c r="I414" s="72" t="s">
        <v>2302</v>
      </c>
      <c r="J414" s="89">
        <v>26.27</v>
      </c>
      <c r="K414" s="72" t="s">
        <v>2303</v>
      </c>
      <c r="L414" s="89">
        <v>7.4</v>
      </c>
      <c r="M414" s="78" t="s">
        <v>1824</v>
      </c>
      <c r="N414" s="78" t="s">
        <v>1825</v>
      </c>
      <c r="O414" s="78"/>
      <c r="P414" s="80">
        <v>197.17</v>
      </c>
    </row>
    <row r="415" spans="1:16" x14ac:dyDescent="0.25">
      <c r="A415" s="72" t="s">
        <v>161</v>
      </c>
      <c r="B415" s="72" t="s">
        <v>794</v>
      </c>
      <c r="C415" s="74">
        <v>2017</v>
      </c>
      <c r="D415" s="81">
        <v>280.58</v>
      </c>
      <c r="E415" s="72" t="s">
        <v>1958</v>
      </c>
      <c r="F415" s="76" t="s">
        <v>1959</v>
      </c>
      <c r="G415" s="72" t="s">
        <v>2176</v>
      </c>
      <c r="H415" s="72" t="s">
        <v>1905</v>
      </c>
      <c r="I415" s="72" t="s">
        <v>2304</v>
      </c>
      <c r="J415" s="89">
        <v>35.08</v>
      </c>
      <c r="K415" s="72" t="s">
        <v>2305</v>
      </c>
      <c r="L415" s="89">
        <v>8.19</v>
      </c>
      <c r="M415" s="78" t="s">
        <v>1824</v>
      </c>
      <c r="N415" s="78" t="s">
        <v>1825</v>
      </c>
      <c r="O415" s="78"/>
      <c r="P415" s="80">
        <v>280.58</v>
      </c>
    </row>
    <row r="416" spans="1:16" x14ac:dyDescent="0.25">
      <c r="A416" s="72" t="s">
        <v>237</v>
      </c>
      <c r="B416" s="72" t="s">
        <v>800</v>
      </c>
      <c r="C416" s="74">
        <v>2017</v>
      </c>
      <c r="D416" s="81">
        <v>163.33000000000001</v>
      </c>
      <c r="E416" s="72" t="s">
        <v>1958</v>
      </c>
      <c r="F416" s="76" t="s">
        <v>1959</v>
      </c>
      <c r="G416" s="72" t="s">
        <v>2176</v>
      </c>
      <c r="H416" s="72" t="s">
        <v>1905</v>
      </c>
      <c r="I416" s="72" t="s">
        <v>2306</v>
      </c>
      <c r="J416" s="89">
        <v>29.91</v>
      </c>
      <c r="K416" s="72" t="s">
        <v>2307</v>
      </c>
      <c r="L416" s="89">
        <v>4.93</v>
      </c>
      <c r="M416" s="78" t="s">
        <v>1824</v>
      </c>
      <c r="N416" s="78" t="s">
        <v>1825</v>
      </c>
      <c r="O416" s="78"/>
      <c r="P416" s="80">
        <v>163.33000000000001</v>
      </c>
    </row>
    <row r="417" spans="1:16" x14ac:dyDescent="0.25">
      <c r="A417" s="72" t="s">
        <v>199</v>
      </c>
      <c r="B417" s="72" t="s">
        <v>801</v>
      </c>
      <c r="C417" s="74">
        <v>2017</v>
      </c>
      <c r="D417" s="81">
        <v>212.69</v>
      </c>
      <c r="E417" s="72" t="s">
        <v>1958</v>
      </c>
      <c r="F417" s="76" t="s">
        <v>1959</v>
      </c>
      <c r="G417" s="72" t="s">
        <v>2176</v>
      </c>
      <c r="H417" s="72" t="s">
        <v>1905</v>
      </c>
      <c r="I417" s="72" t="s">
        <v>2308</v>
      </c>
      <c r="J417" s="89">
        <v>40.590000000000003</v>
      </c>
      <c r="K417" s="72" t="s">
        <v>2309</v>
      </c>
      <c r="L417" s="89">
        <v>5.73</v>
      </c>
      <c r="M417" s="78" t="s">
        <v>1824</v>
      </c>
      <c r="N417" s="78" t="s">
        <v>1825</v>
      </c>
      <c r="O417" s="78"/>
      <c r="P417" s="80">
        <v>212.69</v>
      </c>
    </row>
    <row r="418" spans="1:16" x14ac:dyDescent="0.25">
      <c r="A418" s="72" t="s">
        <v>122</v>
      </c>
      <c r="B418" s="72" t="s">
        <v>802</v>
      </c>
      <c r="C418" s="74">
        <v>2017</v>
      </c>
      <c r="D418" s="81">
        <v>186.25</v>
      </c>
      <c r="E418" s="72" t="s">
        <v>1958</v>
      </c>
      <c r="F418" s="76" t="s">
        <v>1959</v>
      </c>
      <c r="G418" s="72" t="s">
        <v>2176</v>
      </c>
      <c r="H418" s="72" t="s">
        <v>1905</v>
      </c>
      <c r="I418" s="72" t="s">
        <v>2310</v>
      </c>
      <c r="J418" s="89">
        <v>33.979999999999997</v>
      </c>
      <c r="K418" s="72" t="s">
        <v>2311</v>
      </c>
      <c r="L418" s="89">
        <v>7.4</v>
      </c>
      <c r="M418" s="78" t="s">
        <v>1824</v>
      </c>
      <c r="N418" s="78" t="s">
        <v>1825</v>
      </c>
      <c r="O418" s="78"/>
      <c r="P418" s="80">
        <v>186.25</v>
      </c>
    </row>
    <row r="419" spans="1:16" x14ac:dyDescent="0.25">
      <c r="A419" s="72" t="s">
        <v>111</v>
      </c>
      <c r="B419" s="72" t="s">
        <v>803</v>
      </c>
      <c r="C419" s="74">
        <v>2017</v>
      </c>
      <c r="D419" s="81">
        <v>235.6</v>
      </c>
      <c r="E419" s="72" t="s">
        <v>1958</v>
      </c>
      <c r="F419" s="76" t="s">
        <v>1959</v>
      </c>
      <c r="G419" s="72" t="s">
        <v>2176</v>
      </c>
      <c r="H419" s="72" t="s">
        <v>1905</v>
      </c>
      <c r="I419" s="72" t="s">
        <v>2312</v>
      </c>
      <c r="J419" s="89">
        <v>44.66</v>
      </c>
      <c r="K419" s="72" t="s">
        <v>2313</v>
      </c>
      <c r="L419" s="89">
        <v>8.19</v>
      </c>
      <c r="M419" s="78" t="s">
        <v>1824</v>
      </c>
      <c r="N419" s="78" t="s">
        <v>1825</v>
      </c>
      <c r="O419" s="78"/>
      <c r="P419" s="80">
        <v>235.6</v>
      </c>
    </row>
    <row r="420" spans="1:16" x14ac:dyDescent="0.25">
      <c r="A420" s="72" t="s">
        <v>2314</v>
      </c>
      <c r="B420" s="72" t="s">
        <v>2315</v>
      </c>
      <c r="C420" s="74">
        <v>2017</v>
      </c>
      <c r="D420" s="81">
        <v>182.05</v>
      </c>
      <c r="E420" s="72" t="s">
        <v>1958</v>
      </c>
      <c r="F420" s="76" t="s">
        <v>1959</v>
      </c>
      <c r="G420" s="72" t="s">
        <v>2209</v>
      </c>
      <c r="H420" s="72" t="s">
        <v>1905</v>
      </c>
      <c r="I420" s="72" t="s">
        <v>2316</v>
      </c>
      <c r="J420" s="89">
        <v>31.01</v>
      </c>
      <c r="K420" s="72" t="s">
        <v>2317</v>
      </c>
      <c r="L420" s="89">
        <v>6.08</v>
      </c>
      <c r="M420" s="78" t="s">
        <v>1824</v>
      </c>
      <c r="N420" s="78" t="s">
        <v>1825</v>
      </c>
      <c r="O420" s="78"/>
      <c r="P420" s="80">
        <v>182.05</v>
      </c>
    </row>
    <row r="421" spans="1:16" x14ac:dyDescent="0.25">
      <c r="A421" s="72" t="s">
        <v>2318</v>
      </c>
      <c r="B421" s="72" t="s">
        <v>2319</v>
      </c>
      <c r="C421" s="74">
        <v>2017</v>
      </c>
      <c r="D421" s="81">
        <v>204.94</v>
      </c>
      <c r="E421" s="72" t="s">
        <v>1958</v>
      </c>
      <c r="F421" s="76" t="s">
        <v>1959</v>
      </c>
      <c r="G421" s="72" t="s">
        <v>2209</v>
      </c>
      <c r="H421" s="72" t="s">
        <v>1905</v>
      </c>
      <c r="I421" s="72" t="s">
        <v>2320</v>
      </c>
      <c r="J421" s="89">
        <v>35.08</v>
      </c>
      <c r="K421" s="72" t="s">
        <v>2321</v>
      </c>
      <c r="L421" s="89">
        <v>6.08</v>
      </c>
      <c r="M421" s="78" t="s">
        <v>1824</v>
      </c>
      <c r="N421" s="78" t="s">
        <v>1825</v>
      </c>
      <c r="O421" s="78"/>
      <c r="P421" s="80">
        <v>204.94</v>
      </c>
    </row>
    <row r="422" spans="1:16" x14ac:dyDescent="0.25">
      <c r="A422" s="72" t="s">
        <v>132</v>
      </c>
      <c r="B422" s="72" t="s">
        <v>744</v>
      </c>
      <c r="C422" s="74">
        <v>2017</v>
      </c>
      <c r="D422" s="81">
        <v>143.01</v>
      </c>
      <c r="E422" s="72" t="s">
        <v>1958</v>
      </c>
      <c r="F422" s="76" t="s">
        <v>1959</v>
      </c>
      <c r="G422" s="72" t="s">
        <v>2176</v>
      </c>
      <c r="H422" s="72" t="s">
        <v>1905</v>
      </c>
      <c r="I422" s="72" t="s">
        <v>2322</v>
      </c>
      <c r="J422" s="89">
        <v>31.72</v>
      </c>
      <c r="K422" s="72" t="s">
        <v>2323</v>
      </c>
      <c r="L422" s="89">
        <v>3.18</v>
      </c>
      <c r="M422" s="78" t="s">
        <v>1824</v>
      </c>
      <c r="N422" s="78" t="s">
        <v>1825</v>
      </c>
      <c r="O422" s="78"/>
      <c r="P422" s="80">
        <v>143.01</v>
      </c>
    </row>
    <row r="423" spans="1:16" x14ac:dyDescent="0.25">
      <c r="A423" s="72" t="s">
        <v>388</v>
      </c>
      <c r="B423" s="72" t="s">
        <v>747</v>
      </c>
      <c r="C423" s="74">
        <v>2017</v>
      </c>
      <c r="D423" s="81">
        <v>184.26</v>
      </c>
      <c r="E423" s="72" t="s">
        <v>1958</v>
      </c>
      <c r="F423" s="76" t="s">
        <v>1959</v>
      </c>
      <c r="G423" s="72" t="s">
        <v>2176</v>
      </c>
      <c r="H423" s="72" t="s">
        <v>1905</v>
      </c>
      <c r="I423" s="72" t="s">
        <v>2324</v>
      </c>
      <c r="J423" s="89">
        <v>31.72</v>
      </c>
      <c r="K423" s="72" t="s">
        <v>2325</v>
      </c>
      <c r="L423" s="89">
        <v>3.18</v>
      </c>
      <c r="M423" s="78" t="s">
        <v>1824</v>
      </c>
      <c r="N423" s="78" t="s">
        <v>1825</v>
      </c>
      <c r="O423" s="78"/>
      <c r="P423" s="80">
        <v>184.26</v>
      </c>
    </row>
    <row r="424" spans="1:16" x14ac:dyDescent="0.25">
      <c r="A424" s="72" t="s">
        <v>145</v>
      </c>
      <c r="B424" s="72" t="s">
        <v>749</v>
      </c>
      <c r="C424" s="74">
        <v>2017</v>
      </c>
      <c r="D424" s="81">
        <v>227.36</v>
      </c>
      <c r="E424" s="72" t="s">
        <v>1958</v>
      </c>
      <c r="F424" s="76" t="s">
        <v>1959</v>
      </c>
      <c r="G424" s="72" t="s">
        <v>2176</v>
      </c>
      <c r="H424" s="72" t="s">
        <v>1905</v>
      </c>
      <c r="I424" s="72" t="s">
        <v>2326</v>
      </c>
      <c r="J424" s="89">
        <v>41.25</v>
      </c>
      <c r="K424" s="72" t="s">
        <v>2327</v>
      </c>
      <c r="L424" s="89">
        <v>6.08</v>
      </c>
      <c r="M424" s="78" t="s">
        <v>1824</v>
      </c>
      <c r="N424" s="78" t="s">
        <v>1825</v>
      </c>
      <c r="O424" s="78"/>
      <c r="P424" s="80">
        <v>227.36</v>
      </c>
    </row>
    <row r="425" spans="1:16" x14ac:dyDescent="0.25">
      <c r="A425" s="72" t="s">
        <v>333</v>
      </c>
      <c r="B425" s="72" t="s">
        <v>751</v>
      </c>
      <c r="C425" s="74">
        <v>2017</v>
      </c>
      <c r="D425" s="81">
        <v>267.43</v>
      </c>
      <c r="E425" s="72" t="s">
        <v>1958</v>
      </c>
      <c r="F425" s="76" t="s">
        <v>1959</v>
      </c>
      <c r="G425" s="72" t="s">
        <v>2176</v>
      </c>
      <c r="H425" s="72" t="s">
        <v>1905</v>
      </c>
      <c r="I425" s="72" t="s">
        <v>2328</v>
      </c>
      <c r="J425" s="89">
        <v>41.25</v>
      </c>
      <c r="K425" s="72" t="s">
        <v>2329</v>
      </c>
      <c r="L425" s="89">
        <v>6.08</v>
      </c>
      <c r="M425" s="78" t="s">
        <v>1824</v>
      </c>
      <c r="N425" s="78" t="s">
        <v>1825</v>
      </c>
      <c r="O425" s="78"/>
      <c r="P425" s="80">
        <v>267.43</v>
      </c>
    </row>
    <row r="426" spans="1:16" x14ac:dyDescent="0.25">
      <c r="A426" s="72" t="s">
        <v>354</v>
      </c>
      <c r="B426" s="72" t="s">
        <v>753</v>
      </c>
      <c r="C426" s="74">
        <v>2017</v>
      </c>
      <c r="D426" s="81">
        <v>266.2</v>
      </c>
      <c r="E426" s="72" t="s">
        <v>1958</v>
      </c>
      <c r="F426" s="76" t="s">
        <v>1959</v>
      </c>
      <c r="G426" s="72" t="s">
        <v>2176</v>
      </c>
      <c r="H426" s="72" t="s">
        <v>1905</v>
      </c>
      <c r="I426" s="72" t="s">
        <v>2330</v>
      </c>
      <c r="J426" s="89">
        <v>41.25</v>
      </c>
      <c r="K426" s="72" t="s">
        <v>2331</v>
      </c>
      <c r="L426" s="89">
        <v>6.08</v>
      </c>
      <c r="M426" s="78" t="s">
        <v>1824</v>
      </c>
      <c r="N426" s="78" t="s">
        <v>1825</v>
      </c>
      <c r="O426" s="78"/>
      <c r="P426" s="80">
        <v>266.2</v>
      </c>
    </row>
    <row r="427" spans="1:16" x14ac:dyDescent="0.25">
      <c r="A427" s="72" t="s">
        <v>2332</v>
      </c>
      <c r="B427" s="72" t="s">
        <v>2333</v>
      </c>
      <c r="C427" s="74">
        <v>2017</v>
      </c>
      <c r="D427" s="81">
        <v>267.79000000000002</v>
      </c>
      <c r="E427" s="72" t="s">
        <v>1958</v>
      </c>
      <c r="F427" s="76" t="s">
        <v>1959</v>
      </c>
      <c r="G427" s="72" t="s">
        <v>2209</v>
      </c>
      <c r="H427" s="72" t="s">
        <v>1905</v>
      </c>
      <c r="I427" s="72" t="s">
        <v>2334</v>
      </c>
      <c r="J427" s="89">
        <v>41.25</v>
      </c>
      <c r="K427" s="72" t="s">
        <v>2335</v>
      </c>
      <c r="L427" s="89">
        <v>6.08</v>
      </c>
      <c r="M427" s="78" t="s">
        <v>1824</v>
      </c>
      <c r="N427" s="78" t="s">
        <v>1825</v>
      </c>
      <c r="O427" s="78"/>
      <c r="P427" s="80">
        <v>267.79000000000002</v>
      </c>
    </row>
    <row r="428" spans="1:16" x14ac:dyDescent="0.25">
      <c r="A428" s="72" t="s">
        <v>564</v>
      </c>
      <c r="B428" s="72" t="s">
        <v>755</v>
      </c>
      <c r="C428" s="74">
        <v>2017</v>
      </c>
      <c r="D428" s="81">
        <v>346.54</v>
      </c>
      <c r="E428" s="72" t="s">
        <v>1958</v>
      </c>
      <c r="F428" s="76" t="s">
        <v>1959</v>
      </c>
      <c r="G428" s="72" t="s">
        <v>2176</v>
      </c>
      <c r="H428" s="72" t="s">
        <v>1905</v>
      </c>
      <c r="I428" s="72" t="s">
        <v>2336</v>
      </c>
      <c r="J428" s="89">
        <v>41.25</v>
      </c>
      <c r="K428" s="72" t="s">
        <v>2337</v>
      </c>
      <c r="L428" s="89">
        <v>8.19</v>
      </c>
      <c r="M428" s="78" t="s">
        <v>1824</v>
      </c>
      <c r="N428" s="78" t="s">
        <v>1825</v>
      </c>
      <c r="O428" s="78"/>
      <c r="P428" s="80">
        <v>346.54</v>
      </c>
    </row>
    <row r="429" spans="1:16" x14ac:dyDescent="0.25">
      <c r="A429" s="72" t="s">
        <v>133</v>
      </c>
      <c r="B429" s="72" t="s">
        <v>810</v>
      </c>
      <c r="C429" s="74">
        <v>2017</v>
      </c>
      <c r="D429" s="81">
        <v>90.94</v>
      </c>
      <c r="E429" s="72" t="s">
        <v>1958</v>
      </c>
      <c r="F429" s="76" t="s">
        <v>1959</v>
      </c>
      <c r="G429" s="72" t="s">
        <v>2167</v>
      </c>
      <c r="H429" s="72" t="s">
        <v>1905</v>
      </c>
      <c r="I429" s="72" t="s">
        <v>2338</v>
      </c>
      <c r="J429" s="89">
        <v>24.32</v>
      </c>
      <c r="K429" s="72" t="s">
        <v>2339</v>
      </c>
      <c r="L429" s="89">
        <v>1.65</v>
      </c>
      <c r="M429" s="78" t="s">
        <v>1824</v>
      </c>
      <c r="N429" s="78" t="s">
        <v>1825</v>
      </c>
      <c r="O429" s="78"/>
      <c r="P429" s="80">
        <v>90.94</v>
      </c>
    </row>
    <row r="430" spans="1:16" x14ac:dyDescent="0.25">
      <c r="A430" s="72" t="s">
        <v>207</v>
      </c>
      <c r="B430" s="72" t="s">
        <v>813</v>
      </c>
      <c r="C430" s="74">
        <v>2017</v>
      </c>
      <c r="D430" s="81">
        <v>135.44</v>
      </c>
      <c r="E430" s="72" t="s">
        <v>1958</v>
      </c>
      <c r="F430" s="76" t="s">
        <v>1959</v>
      </c>
      <c r="G430" s="72" t="s">
        <v>2167</v>
      </c>
      <c r="H430" s="72" t="s">
        <v>1905</v>
      </c>
      <c r="I430" s="72" t="s">
        <v>2340</v>
      </c>
      <c r="J430" s="89">
        <v>31.72</v>
      </c>
      <c r="K430" s="72" t="s">
        <v>2341</v>
      </c>
      <c r="L430" s="89">
        <v>3.01</v>
      </c>
      <c r="M430" s="78" t="s">
        <v>1824</v>
      </c>
      <c r="N430" s="78" t="s">
        <v>1825</v>
      </c>
      <c r="O430" s="78"/>
      <c r="P430" s="80">
        <v>135.44</v>
      </c>
    </row>
    <row r="431" spans="1:16" x14ac:dyDescent="0.25">
      <c r="A431" s="72" t="s">
        <v>338</v>
      </c>
      <c r="B431" s="72" t="s">
        <v>1162</v>
      </c>
      <c r="C431" s="74">
        <v>2017</v>
      </c>
      <c r="D431" s="81">
        <v>120.81</v>
      </c>
      <c r="E431" s="72" t="s">
        <v>1958</v>
      </c>
      <c r="F431" s="76" t="s">
        <v>1959</v>
      </c>
      <c r="G431" s="72" t="s">
        <v>2176</v>
      </c>
      <c r="H431" s="72" t="s">
        <v>1905</v>
      </c>
      <c r="I431" s="72" t="s">
        <v>2342</v>
      </c>
      <c r="J431" s="89">
        <v>24.32</v>
      </c>
      <c r="K431" s="72" t="s">
        <v>2343</v>
      </c>
      <c r="L431" s="89">
        <v>1.65</v>
      </c>
      <c r="M431" s="78" t="s">
        <v>1824</v>
      </c>
      <c r="N431" s="78" t="s">
        <v>1825</v>
      </c>
      <c r="O431" s="78"/>
      <c r="P431" s="80">
        <v>120.81</v>
      </c>
    </row>
    <row r="432" spans="1:16" x14ac:dyDescent="0.25">
      <c r="A432" s="72" t="s">
        <v>116</v>
      </c>
      <c r="B432" s="72" t="s">
        <v>1163</v>
      </c>
      <c r="C432" s="74">
        <v>2017</v>
      </c>
      <c r="D432" s="81">
        <v>161.33000000000001</v>
      </c>
      <c r="E432" s="72" t="s">
        <v>1958</v>
      </c>
      <c r="F432" s="76" t="s">
        <v>1959</v>
      </c>
      <c r="G432" s="72" t="s">
        <v>2176</v>
      </c>
      <c r="H432" s="72" t="s">
        <v>1905</v>
      </c>
      <c r="I432" s="72" t="s">
        <v>2344</v>
      </c>
      <c r="J432" s="89">
        <v>31.72</v>
      </c>
      <c r="K432" s="72" t="s">
        <v>2345</v>
      </c>
      <c r="L432" s="89">
        <v>3.01</v>
      </c>
      <c r="M432" s="78" t="s">
        <v>1824</v>
      </c>
      <c r="N432" s="78" t="s">
        <v>1825</v>
      </c>
      <c r="O432" s="78"/>
      <c r="P432" s="80">
        <v>161.33000000000001</v>
      </c>
    </row>
    <row r="433" spans="1:16" x14ac:dyDescent="0.25">
      <c r="A433" s="72" t="s">
        <v>76</v>
      </c>
      <c r="B433" s="72" t="s">
        <v>834</v>
      </c>
      <c r="C433" s="74">
        <v>2017</v>
      </c>
      <c r="D433" s="81">
        <v>105.88</v>
      </c>
      <c r="E433" s="72" t="s">
        <v>1958</v>
      </c>
      <c r="F433" s="76" t="s">
        <v>1959</v>
      </c>
      <c r="G433" s="72" t="s">
        <v>2167</v>
      </c>
      <c r="H433" s="72" t="s">
        <v>1905</v>
      </c>
      <c r="I433" s="72" t="s">
        <v>2346</v>
      </c>
      <c r="J433" s="89">
        <v>24.32</v>
      </c>
      <c r="K433" s="72" t="s">
        <v>2347</v>
      </c>
      <c r="L433" s="89">
        <v>1.65</v>
      </c>
      <c r="M433" s="78" t="s">
        <v>1824</v>
      </c>
      <c r="N433" s="78" t="s">
        <v>1825</v>
      </c>
      <c r="O433" s="78"/>
      <c r="P433" s="80">
        <v>105.88</v>
      </c>
    </row>
    <row r="434" spans="1:16" x14ac:dyDescent="0.25">
      <c r="A434" s="72" t="s">
        <v>159</v>
      </c>
      <c r="B434" s="72" t="s">
        <v>837</v>
      </c>
      <c r="C434" s="74">
        <v>2017</v>
      </c>
      <c r="D434" s="81">
        <v>150.38</v>
      </c>
      <c r="E434" s="72" t="s">
        <v>1958</v>
      </c>
      <c r="F434" s="76" t="s">
        <v>1959</v>
      </c>
      <c r="G434" s="72" t="s">
        <v>2167</v>
      </c>
      <c r="H434" s="72" t="s">
        <v>1905</v>
      </c>
      <c r="I434" s="72" t="s">
        <v>2348</v>
      </c>
      <c r="J434" s="89">
        <v>31.72</v>
      </c>
      <c r="K434" s="72" t="s">
        <v>2349</v>
      </c>
      <c r="L434" s="89">
        <v>3.01</v>
      </c>
      <c r="M434" s="78" t="s">
        <v>1824</v>
      </c>
      <c r="N434" s="78" t="s">
        <v>1825</v>
      </c>
      <c r="O434" s="78"/>
      <c r="P434" s="80">
        <v>150.38</v>
      </c>
    </row>
    <row r="435" spans="1:16" x14ac:dyDescent="0.25">
      <c r="A435" s="72" t="s">
        <v>331</v>
      </c>
      <c r="B435" s="72" t="s">
        <v>840</v>
      </c>
      <c r="C435" s="74">
        <v>2017</v>
      </c>
      <c r="D435" s="81">
        <v>137.43</v>
      </c>
      <c r="E435" s="72" t="s">
        <v>1958</v>
      </c>
      <c r="F435" s="76" t="s">
        <v>1959</v>
      </c>
      <c r="G435" s="72" t="s">
        <v>2167</v>
      </c>
      <c r="H435" s="72" t="s">
        <v>1905</v>
      </c>
      <c r="I435" s="72" t="s">
        <v>2350</v>
      </c>
      <c r="J435" s="89">
        <v>24.32</v>
      </c>
      <c r="K435" s="72" t="s">
        <v>2351</v>
      </c>
      <c r="L435" s="89">
        <v>2.95</v>
      </c>
      <c r="M435" s="78" t="s">
        <v>1824</v>
      </c>
      <c r="N435" s="78" t="s">
        <v>1825</v>
      </c>
      <c r="O435" s="78"/>
      <c r="P435" s="80">
        <v>137.43</v>
      </c>
    </row>
    <row r="436" spans="1:16" x14ac:dyDescent="0.25">
      <c r="A436" s="72" t="s">
        <v>140</v>
      </c>
      <c r="B436" s="72" t="s">
        <v>843</v>
      </c>
      <c r="C436" s="74">
        <v>2017</v>
      </c>
      <c r="D436" s="81">
        <v>181.94</v>
      </c>
      <c r="E436" s="72" t="s">
        <v>1958</v>
      </c>
      <c r="F436" s="76" t="s">
        <v>1959</v>
      </c>
      <c r="G436" s="72" t="s">
        <v>2167</v>
      </c>
      <c r="H436" s="72" t="s">
        <v>1905</v>
      </c>
      <c r="I436" s="72" t="s">
        <v>2352</v>
      </c>
      <c r="J436" s="89">
        <v>31.72</v>
      </c>
      <c r="K436" s="72" t="s">
        <v>2353</v>
      </c>
      <c r="L436" s="89">
        <v>4.3099999999999996</v>
      </c>
      <c r="M436" s="78" t="s">
        <v>1824</v>
      </c>
      <c r="N436" s="78" t="s">
        <v>1825</v>
      </c>
      <c r="O436" s="78"/>
      <c r="P436" s="80">
        <v>181.94</v>
      </c>
    </row>
    <row r="437" spans="1:16" x14ac:dyDescent="0.25">
      <c r="A437" s="72" t="s">
        <v>204</v>
      </c>
      <c r="B437" s="72" t="s">
        <v>858</v>
      </c>
      <c r="C437" s="74">
        <v>2017</v>
      </c>
      <c r="D437" s="81">
        <v>122.71</v>
      </c>
      <c r="E437" s="72" t="s">
        <v>1958</v>
      </c>
      <c r="F437" s="76" t="s">
        <v>1959</v>
      </c>
      <c r="G437" s="72" t="s">
        <v>2176</v>
      </c>
      <c r="H437" s="72" t="s">
        <v>1905</v>
      </c>
      <c r="I437" s="72" t="s">
        <v>2354</v>
      </c>
      <c r="J437" s="89">
        <v>24.32</v>
      </c>
      <c r="K437" s="72" t="s">
        <v>2355</v>
      </c>
      <c r="L437" s="89">
        <v>1.65</v>
      </c>
      <c r="M437" s="78" t="s">
        <v>1824</v>
      </c>
      <c r="N437" s="78" t="s">
        <v>1825</v>
      </c>
      <c r="O437" s="78"/>
      <c r="P437" s="80">
        <v>122.71</v>
      </c>
    </row>
    <row r="438" spans="1:16" x14ac:dyDescent="0.25">
      <c r="A438" s="72" t="s">
        <v>100</v>
      </c>
      <c r="B438" s="72" t="s">
        <v>861</v>
      </c>
      <c r="C438" s="74">
        <v>2017</v>
      </c>
      <c r="D438" s="81">
        <v>163.22</v>
      </c>
      <c r="E438" s="72" t="s">
        <v>1958</v>
      </c>
      <c r="F438" s="76" t="s">
        <v>1959</v>
      </c>
      <c r="G438" s="72" t="s">
        <v>2176</v>
      </c>
      <c r="H438" s="72" t="s">
        <v>1905</v>
      </c>
      <c r="I438" s="72" t="s">
        <v>2356</v>
      </c>
      <c r="J438" s="89">
        <v>31.72</v>
      </c>
      <c r="K438" s="72" t="s">
        <v>2357</v>
      </c>
      <c r="L438" s="89">
        <v>3.01</v>
      </c>
      <c r="M438" s="78" t="s">
        <v>1824</v>
      </c>
      <c r="N438" s="78" t="s">
        <v>1825</v>
      </c>
      <c r="O438" s="78"/>
      <c r="P438" s="80">
        <v>163.22</v>
      </c>
    </row>
    <row r="439" spans="1:16" x14ac:dyDescent="0.25">
      <c r="A439" s="72" t="s">
        <v>118</v>
      </c>
      <c r="B439" s="72" t="s">
        <v>864</v>
      </c>
      <c r="C439" s="74">
        <v>2017</v>
      </c>
      <c r="D439" s="81">
        <v>154.79</v>
      </c>
      <c r="E439" s="72" t="s">
        <v>1958</v>
      </c>
      <c r="F439" s="76" t="s">
        <v>1959</v>
      </c>
      <c r="G439" s="72" t="s">
        <v>2176</v>
      </c>
      <c r="H439" s="72" t="s">
        <v>1905</v>
      </c>
      <c r="I439" s="72" t="s">
        <v>2358</v>
      </c>
      <c r="J439" s="89">
        <v>24.32</v>
      </c>
      <c r="K439" s="72" t="s">
        <v>2359</v>
      </c>
      <c r="L439" s="89">
        <v>2.95</v>
      </c>
      <c r="M439" s="78" t="s">
        <v>1824</v>
      </c>
      <c r="N439" s="78" t="s">
        <v>1825</v>
      </c>
      <c r="O439" s="78"/>
      <c r="P439" s="80">
        <v>154.79</v>
      </c>
    </row>
    <row r="440" spans="1:16" x14ac:dyDescent="0.25">
      <c r="A440" s="72" t="s">
        <v>316</v>
      </c>
      <c r="B440" s="72" t="s">
        <v>867</v>
      </c>
      <c r="C440" s="74">
        <v>2017</v>
      </c>
      <c r="D440" s="81">
        <v>195.3</v>
      </c>
      <c r="E440" s="72" t="s">
        <v>1958</v>
      </c>
      <c r="F440" s="76" t="s">
        <v>1959</v>
      </c>
      <c r="G440" s="72" t="s">
        <v>2176</v>
      </c>
      <c r="H440" s="72" t="s">
        <v>1905</v>
      </c>
      <c r="I440" s="72" t="s">
        <v>2360</v>
      </c>
      <c r="J440" s="89">
        <v>31.72</v>
      </c>
      <c r="K440" s="72" t="s">
        <v>2361</v>
      </c>
      <c r="L440" s="89">
        <v>4.3099999999999996</v>
      </c>
      <c r="M440" s="78" t="s">
        <v>1824</v>
      </c>
      <c r="N440" s="78" t="s">
        <v>1825</v>
      </c>
      <c r="O440" s="78"/>
      <c r="P440" s="80">
        <v>195.3</v>
      </c>
    </row>
    <row r="441" spans="1:16" x14ac:dyDescent="0.25">
      <c r="A441" s="72" t="s">
        <v>355</v>
      </c>
      <c r="B441" s="72" t="s">
        <v>883</v>
      </c>
      <c r="C441" s="74">
        <v>2017</v>
      </c>
      <c r="D441" s="81">
        <v>145.4</v>
      </c>
      <c r="E441" s="72" t="s">
        <v>1958</v>
      </c>
      <c r="F441" s="76" t="s">
        <v>1959</v>
      </c>
      <c r="G441" s="72" t="s">
        <v>2176</v>
      </c>
      <c r="H441" s="72" t="s">
        <v>1905</v>
      </c>
      <c r="I441" s="72" t="s">
        <v>2362</v>
      </c>
      <c r="J441" s="89">
        <v>24.07</v>
      </c>
      <c r="K441" s="72" t="s">
        <v>2363</v>
      </c>
      <c r="L441" s="89">
        <v>4.93</v>
      </c>
      <c r="M441" s="78" t="s">
        <v>1824</v>
      </c>
      <c r="N441" s="78" t="s">
        <v>1825</v>
      </c>
      <c r="O441" s="78"/>
      <c r="P441" s="80">
        <v>145.4</v>
      </c>
    </row>
    <row r="442" spans="1:16" x14ac:dyDescent="0.25">
      <c r="A442" s="72" t="s">
        <v>152</v>
      </c>
      <c r="B442" s="72" t="s">
        <v>886</v>
      </c>
      <c r="C442" s="74">
        <v>2017</v>
      </c>
      <c r="D442" s="81">
        <v>189.9</v>
      </c>
      <c r="E442" s="72" t="s">
        <v>1958</v>
      </c>
      <c r="F442" s="76" t="s">
        <v>1959</v>
      </c>
      <c r="G442" s="72" t="s">
        <v>2176</v>
      </c>
      <c r="H442" s="72" t="s">
        <v>1905</v>
      </c>
      <c r="I442" s="72" t="s">
        <v>2364</v>
      </c>
      <c r="J442" s="89">
        <v>32.880000000000003</v>
      </c>
      <c r="K442" s="72" t="s">
        <v>2365</v>
      </c>
      <c r="L442" s="89">
        <v>5.73</v>
      </c>
      <c r="M442" s="78" t="s">
        <v>1824</v>
      </c>
      <c r="N442" s="78" t="s">
        <v>1825</v>
      </c>
      <c r="O442" s="78"/>
      <c r="P442" s="80">
        <v>189.9</v>
      </c>
    </row>
    <row r="443" spans="1:16" x14ac:dyDescent="0.25">
      <c r="A443" s="72" t="s">
        <v>357</v>
      </c>
      <c r="B443" s="72" t="s">
        <v>889</v>
      </c>
      <c r="C443" s="74">
        <v>2017</v>
      </c>
      <c r="D443" s="81">
        <v>182.43</v>
      </c>
      <c r="E443" s="72" t="s">
        <v>1958</v>
      </c>
      <c r="F443" s="76" t="s">
        <v>1959</v>
      </c>
      <c r="G443" s="72" t="s">
        <v>2176</v>
      </c>
      <c r="H443" s="72" t="s">
        <v>1905</v>
      </c>
      <c r="I443" s="72" t="s">
        <v>2366</v>
      </c>
      <c r="J443" s="89">
        <v>28.14</v>
      </c>
      <c r="K443" s="72" t="s">
        <v>2367</v>
      </c>
      <c r="L443" s="89">
        <v>7.4</v>
      </c>
      <c r="M443" s="78" t="s">
        <v>1824</v>
      </c>
      <c r="N443" s="78" t="s">
        <v>1825</v>
      </c>
      <c r="O443" s="78"/>
      <c r="P443" s="80">
        <v>182.43</v>
      </c>
    </row>
    <row r="444" spans="1:16" x14ac:dyDescent="0.25">
      <c r="A444" s="72" t="s">
        <v>84</v>
      </c>
      <c r="B444" s="72" t="s">
        <v>892</v>
      </c>
      <c r="C444" s="74">
        <v>2017</v>
      </c>
      <c r="D444" s="81">
        <v>226.92</v>
      </c>
      <c r="E444" s="72" t="s">
        <v>1958</v>
      </c>
      <c r="F444" s="76" t="s">
        <v>1959</v>
      </c>
      <c r="G444" s="72" t="s">
        <v>2176</v>
      </c>
      <c r="H444" s="72" t="s">
        <v>1905</v>
      </c>
      <c r="I444" s="72" t="s">
        <v>2368</v>
      </c>
      <c r="J444" s="89">
        <v>36.950000000000003</v>
      </c>
      <c r="K444" s="72" t="s">
        <v>2369</v>
      </c>
      <c r="L444" s="89">
        <v>8.19</v>
      </c>
      <c r="M444" s="78" t="s">
        <v>1824</v>
      </c>
      <c r="N444" s="78" t="s">
        <v>1825</v>
      </c>
      <c r="O444" s="78"/>
      <c r="P444" s="80">
        <v>226.92</v>
      </c>
    </row>
    <row r="445" spans="1:16" x14ac:dyDescent="0.25">
      <c r="A445" s="72" t="s">
        <v>180</v>
      </c>
      <c r="B445" s="72" t="s">
        <v>908</v>
      </c>
      <c r="C445" s="74">
        <v>2017</v>
      </c>
      <c r="D445" s="81">
        <v>159.72999999999999</v>
      </c>
      <c r="E445" s="72" t="s">
        <v>1958</v>
      </c>
      <c r="F445" s="76" t="s">
        <v>1959</v>
      </c>
      <c r="G445" s="72" t="s">
        <v>2176</v>
      </c>
      <c r="H445" s="72" t="s">
        <v>1905</v>
      </c>
      <c r="I445" s="72" t="s">
        <v>2370</v>
      </c>
      <c r="J445" s="89">
        <v>29.16</v>
      </c>
      <c r="K445" s="72" t="s">
        <v>2371</v>
      </c>
      <c r="L445" s="89">
        <v>4.93</v>
      </c>
      <c r="M445" s="78" t="s">
        <v>1824</v>
      </c>
      <c r="N445" s="78" t="s">
        <v>1825</v>
      </c>
      <c r="O445" s="78"/>
      <c r="P445" s="80">
        <v>159.72999999999999</v>
      </c>
    </row>
    <row r="446" spans="1:16" x14ac:dyDescent="0.25">
      <c r="A446" s="72" t="s">
        <v>51</v>
      </c>
      <c r="B446" s="72" t="s">
        <v>911</v>
      </c>
      <c r="C446" s="74">
        <v>2017</v>
      </c>
      <c r="D446" s="81">
        <v>200.25</v>
      </c>
      <c r="E446" s="72" t="s">
        <v>1958</v>
      </c>
      <c r="F446" s="76" t="s">
        <v>1959</v>
      </c>
      <c r="G446" s="72" t="s">
        <v>2176</v>
      </c>
      <c r="H446" s="72" t="s">
        <v>1905</v>
      </c>
      <c r="I446" s="72" t="s">
        <v>2372</v>
      </c>
      <c r="J446" s="89">
        <v>39.840000000000003</v>
      </c>
      <c r="K446" s="72" t="s">
        <v>2373</v>
      </c>
      <c r="L446" s="89">
        <v>5.73</v>
      </c>
      <c r="M446" s="78" t="s">
        <v>1824</v>
      </c>
      <c r="N446" s="78" t="s">
        <v>1825</v>
      </c>
      <c r="O446" s="78"/>
      <c r="P446" s="80">
        <v>200.25</v>
      </c>
    </row>
    <row r="447" spans="1:16" x14ac:dyDescent="0.25">
      <c r="A447" s="72" t="s">
        <v>358</v>
      </c>
      <c r="B447" s="72" t="s">
        <v>914</v>
      </c>
      <c r="C447" s="74">
        <v>2017</v>
      </c>
      <c r="D447" s="81">
        <v>202.08</v>
      </c>
      <c r="E447" s="72" t="s">
        <v>1958</v>
      </c>
      <c r="F447" s="76" t="s">
        <v>1959</v>
      </c>
      <c r="G447" s="72" t="s">
        <v>2176</v>
      </c>
      <c r="H447" s="72" t="s">
        <v>1905</v>
      </c>
      <c r="I447" s="72" t="s">
        <v>2374</v>
      </c>
      <c r="J447" s="89">
        <v>33.229999999999997</v>
      </c>
      <c r="K447" s="72" t="s">
        <v>2375</v>
      </c>
      <c r="L447" s="89">
        <v>7.4</v>
      </c>
      <c r="M447" s="78" t="s">
        <v>1824</v>
      </c>
      <c r="N447" s="78" t="s">
        <v>1825</v>
      </c>
      <c r="O447" s="78"/>
      <c r="P447" s="80">
        <v>202.08</v>
      </c>
    </row>
    <row r="448" spans="1:16" x14ac:dyDescent="0.25">
      <c r="A448" s="72" t="s">
        <v>139</v>
      </c>
      <c r="B448" s="72" t="s">
        <v>917</v>
      </c>
      <c r="C448" s="74">
        <v>2017</v>
      </c>
      <c r="D448" s="81">
        <v>242.56</v>
      </c>
      <c r="E448" s="72" t="s">
        <v>1958</v>
      </c>
      <c r="F448" s="76" t="s">
        <v>1959</v>
      </c>
      <c r="G448" s="72" t="s">
        <v>2176</v>
      </c>
      <c r="H448" s="72" t="s">
        <v>1905</v>
      </c>
      <c r="I448" s="72" t="s">
        <v>2376</v>
      </c>
      <c r="J448" s="89">
        <v>43.91</v>
      </c>
      <c r="K448" s="72" t="s">
        <v>2377</v>
      </c>
      <c r="L448" s="89">
        <v>8.19</v>
      </c>
      <c r="M448" s="78" t="s">
        <v>1824</v>
      </c>
      <c r="N448" s="78" t="s">
        <v>1825</v>
      </c>
      <c r="O448" s="78"/>
      <c r="P448" s="80">
        <v>242.56</v>
      </c>
    </row>
    <row r="449" spans="1:16" x14ac:dyDescent="0.25">
      <c r="A449" s="72" t="s">
        <v>229</v>
      </c>
      <c r="B449" s="72" t="s">
        <v>933</v>
      </c>
      <c r="C449" s="74">
        <v>2017</v>
      </c>
      <c r="D449" s="81">
        <v>178.51</v>
      </c>
      <c r="E449" s="72" t="s">
        <v>1958</v>
      </c>
      <c r="F449" s="76" t="s">
        <v>1959</v>
      </c>
      <c r="G449" s="72" t="s">
        <v>2176</v>
      </c>
      <c r="H449" s="72" t="s">
        <v>1905</v>
      </c>
      <c r="I449" s="72" t="s">
        <v>2378</v>
      </c>
      <c r="J449" s="89">
        <v>29.16</v>
      </c>
      <c r="K449" s="72" t="s">
        <v>2379</v>
      </c>
      <c r="L449" s="89">
        <v>4.93</v>
      </c>
      <c r="M449" s="78" t="s">
        <v>1824</v>
      </c>
      <c r="N449" s="78" t="s">
        <v>1825</v>
      </c>
      <c r="O449" s="78"/>
      <c r="P449" s="80">
        <v>178.51</v>
      </c>
    </row>
    <row r="450" spans="1:16" x14ac:dyDescent="0.25">
      <c r="A450" s="72" t="s">
        <v>211</v>
      </c>
      <c r="B450" s="72" t="s">
        <v>936</v>
      </c>
      <c r="C450" s="74">
        <v>2017</v>
      </c>
      <c r="D450" s="81">
        <v>212.52</v>
      </c>
      <c r="E450" s="72" t="s">
        <v>1958</v>
      </c>
      <c r="F450" s="76" t="s">
        <v>1959</v>
      </c>
      <c r="G450" s="72" t="s">
        <v>2176</v>
      </c>
      <c r="H450" s="72" t="s">
        <v>1905</v>
      </c>
      <c r="I450" s="72" t="s">
        <v>2380</v>
      </c>
      <c r="J450" s="89">
        <v>39.840000000000003</v>
      </c>
      <c r="K450" s="72" t="s">
        <v>2381</v>
      </c>
      <c r="L450" s="89">
        <v>5.73</v>
      </c>
      <c r="M450" s="78" t="s">
        <v>1824</v>
      </c>
      <c r="N450" s="78" t="s">
        <v>1825</v>
      </c>
      <c r="O450" s="78"/>
      <c r="P450" s="80">
        <v>212.52</v>
      </c>
    </row>
    <row r="451" spans="1:16" x14ac:dyDescent="0.25">
      <c r="A451" s="72" t="s">
        <v>238</v>
      </c>
      <c r="B451" s="72" t="s">
        <v>939</v>
      </c>
      <c r="C451" s="74">
        <v>2017</v>
      </c>
      <c r="D451" s="81">
        <v>217.34</v>
      </c>
      <c r="E451" s="72" t="s">
        <v>1958</v>
      </c>
      <c r="F451" s="76" t="s">
        <v>1959</v>
      </c>
      <c r="G451" s="72" t="s">
        <v>2176</v>
      </c>
      <c r="H451" s="72" t="s">
        <v>1905</v>
      </c>
      <c r="I451" s="72" t="s">
        <v>2382</v>
      </c>
      <c r="J451" s="89">
        <v>33.229999999999997</v>
      </c>
      <c r="K451" s="72" t="s">
        <v>2383</v>
      </c>
      <c r="L451" s="89">
        <v>7.4</v>
      </c>
      <c r="M451" s="78" t="s">
        <v>1824</v>
      </c>
      <c r="N451" s="78" t="s">
        <v>1825</v>
      </c>
      <c r="O451" s="78"/>
      <c r="P451" s="80">
        <v>217.34</v>
      </c>
    </row>
    <row r="452" spans="1:16" x14ac:dyDescent="0.25">
      <c r="A452" s="72" t="s">
        <v>347</v>
      </c>
      <c r="B452" s="72" t="s">
        <v>942</v>
      </c>
      <c r="C452" s="74">
        <v>2017</v>
      </c>
      <c r="D452" s="81">
        <v>251.33</v>
      </c>
      <c r="E452" s="72" t="s">
        <v>1958</v>
      </c>
      <c r="F452" s="76" t="s">
        <v>1959</v>
      </c>
      <c r="G452" s="72" t="s">
        <v>2176</v>
      </c>
      <c r="H452" s="72" t="s">
        <v>1905</v>
      </c>
      <c r="I452" s="72" t="s">
        <v>2384</v>
      </c>
      <c r="J452" s="89">
        <v>43.91</v>
      </c>
      <c r="K452" s="72" t="s">
        <v>2385</v>
      </c>
      <c r="L452" s="89">
        <v>8.19</v>
      </c>
      <c r="M452" s="78" t="s">
        <v>1824</v>
      </c>
      <c r="N452" s="78" t="s">
        <v>1825</v>
      </c>
      <c r="O452" s="78"/>
      <c r="P452" s="80">
        <v>251.33</v>
      </c>
    </row>
    <row r="453" spans="1:16" x14ac:dyDescent="0.25">
      <c r="A453" s="72" t="s">
        <v>302</v>
      </c>
      <c r="B453" s="72" t="s">
        <v>957</v>
      </c>
      <c r="C453" s="74">
        <v>2017</v>
      </c>
      <c r="D453" s="81">
        <v>107.91</v>
      </c>
      <c r="E453" s="72" t="s">
        <v>1958</v>
      </c>
      <c r="F453" s="76" t="s">
        <v>1959</v>
      </c>
      <c r="G453" s="72" t="s">
        <v>2167</v>
      </c>
      <c r="H453" s="72" t="s">
        <v>1905</v>
      </c>
      <c r="I453" s="72" t="s">
        <v>2386</v>
      </c>
      <c r="J453" s="89">
        <v>24.32</v>
      </c>
      <c r="K453" s="72" t="s">
        <v>2387</v>
      </c>
      <c r="L453" s="89">
        <v>4.55</v>
      </c>
      <c r="M453" s="78" t="s">
        <v>1824</v>
      </c>
      <c r="N453" s="78" t="s">
        <v>1825</v>
      </c>
      <c r="O453" s="78"/>
      <c r="P453" s="80">
        <v>107.91</v>
      </c>
    </row>
    <row r="454" spans="1:16" x14ac:dyDescent="0.25">
      <c r="A454" s="72" t="s">
        <v>55</v>
      </c>
      <c r="B454" s="72" t="s">
        <v>960</v>
      </c>
      <c r="C454" s="74">
        <v>2017</v>
      </c>
      <c r="D454" s="81">
        <v>158.09</v>
      </c>
      <c r="E454" s="72" t="s">
        <v>1958</v>
      </c>
      <c r="F454" s="76" t="s">
        <v>1959</v>
      </c>
      <c r="G454" s="72" t="s">
        <v>2167</v>
      </c>
      <c r="H454" s="72" t="s">
        <v>1905</v>
      </c>
      <c r="I454" s="72" t="s">
        <v>2388</v>
      </c>
      <c r="J454" s="89">
        <v>31.72</v>
      </c>
      <c r="K454" s="72" t="s">
        <v>2389</v>
      </c>
      <c r="L454" s="89">
        <v>5.72</v>
      </c>
      <c r="M454" s="78" t="s">
        <v>1824</v>
      </c>
      <c r="N454" s="78" t="s">
        <v>1825</v>
      </c>
      <c r="O454" s="78"/>
      <c r="P454" s="80">
        <v>158.09</v>
      </c>
    </row>
    <row r="455" spans="1:16" x14ac:dyDescent="0.25">
      <c r="A455" s="72" t="s">
        <v>369</v>
      </c>
      <c r="B455" s="72" t="s">
        <v>963</v>
      </c>
      <c r="C455" s="74">
        <v>2017</v>
      </c>
      <c r="D455" s="81">
        <v>126.14</v>
      </c>
      <c r="E455" s="72" t="s">
        <v>1958</v>
      </c>
      <c r="F455" s="76" t="s">
        <v>1959</v>
      </c>
      <c r="G455" s="72" t="s">
        <v>2167</v>
      </c>
      <c r="H455" s="72" t="s">
        <v>1905</v>
      </c>
      <c r="I455" s="72" t="s">
        <v>2390</v>
      </c>
      <c r="J455" s="89">
        <v>24.32</v>
      </c>
      <c r="K455" s="72" t="s">
        <v>2391</v>
      </c>
      <c r="L455" s="89">
        <v>6.97</v>
      </c>
      <c r="M455" s="78" t="s">
        <v>1824</v>
      </c>
      <c r="N455" s="78" t="s">
        <v>1825</v>
      </c>
      <c r="O455" s="78"/>
      <c r="P455" s="80">
        <v>126.14</v>
      </c>
    </row>
    <row r="456" spans="1:16" x14ac:dyDescent="0.25">
      <c r="A456" s="72" t="s">
        <v>359</v>
      </c>
      <c r="B456" s="72" t="s">
        <v>966</v>
      </c>
      <c r="C456" s="74">
        <v>2017</v>
      </c>
      <c r="D456" s="81">
        <v>176.35</v>
      </c>
      <c r="E456" s="72" t="s">
        <v>1958</v>
      </c>
      <c r="F456" s="76" t="s">
        <v>1959</v>
      </c>
      <c r="G456" s="72" t="s">
        <v>2167</v>
      </c>
      <c r="H456" s="72" t="s">
        <v>1905</v>
      </c>
      <c r="I456" s="72" t="s">
        <v>2392</v>
      </c>
      <c r="J456" s="89">
        <v>31.72</v>
      </c>
      <c r="K456" s="72" t="s">
        <v>2393</v>
      </c>
      <c r="L456" s="89">
        <v>8.1300000000000008</v>
      </c>
      <c r="M456" s="78" t="s">
        <v>1824</v>
      </c>
      <c r="N456" s="78" t="s">
        <v>1825</v>
      </c>
      <c r="O456" s="78"/>
      <c r="P456" s="80">
        <v>176.35</v>
      </c>
    </row>
    <row r="457" spans="1:16" x14ac:dyDescent="0.25">
      <c r="A457" s="72" t="s">
        <v>86</v>
      </c>
      <c r="B457" s="72" t="s">
        <v>981</v>
      </c>
      <c r="C457" s="74">
        <v>2017</v>
      </c>
      <c r="D457" s="81">
        <v>212.17</v>
      </c>
      <c r="E457" s="72" t="s">
        <v>1958</v>
      </c>
      <c r="F457" s="76" t="s">
        <v>1959</v>
      </c>
      <c r="G457" s="72" t="s">
        <v>2176</v>
      </c>
      <c r="H457" s="72" t="s">
        <v>1905</v>
      </c>
      <c r="I457" s="72" t="s">
        <v>2394</v>
      </c>
      <c r="J457" s="89">
        <v>24.32</v>
      </c>
      <c r="K457" s="72" t="s">
        <v>2395</v>
      </c>
      <c r="L457" s="89">
        <v>4.55</v>
      </c>
      <c r="M457" s="78" t="s">
        <v>1824</v>
      </c>
      <c r="N457" s="78" t="s">
        <v>1825</v>
      </c>
      <c r="O457" s="78"/>
      <c r="P457" s="80">
        <v>212.17</v>
      </c>
    </row>
    <row r="458" spans="1:16" x14ac:dyDescent="0.25">
      <c r="A458" s="72" t="s">
        <v>171</v>
      </c>
      <c r="B458" s="72" t="s">
        <v>984</v>
      </c>
      <c r="C458" s="74">
        <v>2017</v>
      </c>
      <c r="D458" s="81">
        <v>276.49</v>
      </c>
      <c r="E458" s="72" t="s">
        <v>1958</v>
      </c>
      <c r="F458" s="76" t="s">
        <v>1959</v>
      </c>
      <c r="G458" s="72" t="s">
        <v>2176</v>
      </c>
      <c r="H458" s="72" t="s">
        <v>1905</v>
      </c>
      <c r="I458" s="72" t="s">
        <v>2396</v>
      </c>
      <c r="J458" s="89">
        <v>31.72</v>
      </c>
      <c r="K458" s="72" t="s">
        <v>2397</v>
      </c>
      <c r="L458" s="89">
        <v>5.72</v>
      </c>
      <c r="M458" s="78" t="s">
        <v>1824</v>
      </c>
      <c r="N458" s="78" t="s">
        <v>1825</v>
      </c>
      <c r="O458" s="78"/>
      <c r="P458" s="80">
        <v>276.49</v>
      </c>
    </row>
    <row r="459" spans="1:16" x14ac:dyDescent="0.25">
      <c r="A459" s="72" t="s">
        <v>296</v>
      </c>
      <c r="B459" s="72" t="s">
        <v>987</v>
      </c>
      <c r="C459" s="74">
        <v>2017</v>
      </c>
      <c r="D459" s="81">
        <v>241.84</v>
      </c>
      <c r="E459" s="72" t="s">
        <v>1958</v>
      </c>
      <c r="F459" s="76" t="s">
        <v>1959</v>
      </c>
      <c r="G459" s="72" t="s">
        <v>2176</v>
      </c>
      <c r="H459" s="72" t="s">
        <v>1905</v>
      </c>
      <c r="I459" s="72" t="s">
        <v>2398</v>
      </c>
      <c r="J459" s="89">
        <v>24.32</v>
      </c>
      <c r="K459" s="72" t="s">
        <v>2399</v>
      </c>
      <c r="L459" s="89">
        <v>6.97</v>
      </c>
      <c r="M459" s="78" t="s">
        <v>1824</v>
      </c>
      <c r="N459" s="78" t="s">
        <v>1825</v>
      </c>
      <c r="O459" s="78"/>
      <c r="P459" s="80">
        <v>241.84</v>
      </c>
    </row>
    <row r="460" spans="1:16" x14ac:dyDescent="0.25">
      <c r="A460" s="72" t="s">
        <v>52</v>
      </c>
      <c r="B460" s="72" t="s">
        <v>990</v>
      </c>
      <c r="C460" s="74">
        <v>2017</v>
      </c>
      <c r="D460" s="81">
        <v>306.20999999999998</v>
      </c>
      <c r="E460" s="72" t="s">
        <v>1958</v>
      </c>
      <c r="F460" s="76" t="s">
        <v>1959</v>
      </c>
      <c r="G460" s="72" t="s">
        <v>2176</v>
      </c>
      <c r="H460" s="72" t="s">
        <v>1905</v>
      </c>
      <c r="I460" s="72" t="s">
        <v>2400</v>
      </c>
      <c r="J460" s="89">
        <v>31.72</v>
      </c>
      <c r="K460" s="72" t="s">
        <v>2401</v>
      </c>
      <c r="L460" s="89">
        <v>8.1300000000000008</v>
      </c>
      <c r="M460" s="78" t="s">
        <v>1824</v>
      </c>
      <c r="N460" s="78" t="s">
        <v>1825</v>
      </c>
      <c r="O460" s="78"/>
      <c r="P460" s="80">
        <v>306.20999999999998</v>
      </c>
    </row>
    <row r="461" spans="1:16" x14ac:dyDescent="0.25">
      <c r="A461" s="72" t="s">
        <v>168</v>
      </c>
      <c r="B461" s="72" t="s">
        <v>1005</v>
      </c>
      <c r="C461" s="74">
        <v>2017</v>
      </c>
      <c r="D461" s="81">
        <v>247.57</v>
      </c>
      <c r="E461" s="72" t="s">
        <v>1958</v>
      </c>
      <c r="F461" s="76" t="s">
        <v>1959</v>
      </c>
      <c r="G461" s="72" t="s">
        <v>2176</v>
      </c>
      <c r="H461" s="72" t="s">
        <v>1905</v>
      </c>
      <c r="I461" s="72" t="s">
        <v>2402</v>
      </c>
      <c r="J461" s="89">
        <v>22.81</v>
      </c>
      <c r="K461" s="72" t="s">
        <v>2403</v>
      </c>
      <c r="L461" s="89">
        <v>4.55</v>
      </c>
      <c r="M461" s="78" t="s">
        <v>1824</v>
      </c>
      <c r="N461" s="78" t="s">
        <v>1825</v>
      </c>
      <c r="O461" s="78"/>
      <c r="P461" s="80">
        <v>247.57</v>
      </c>
    </row>
    <row r="462" spans="1:16" x14ac:dyDescent="0.25">
      <c r="A462" s="72" t="s">
        <v>56</v>
      </c>
      <c r="B462" s="72" t="s">
        <v>1008</v>
      </c>
      <c r="C462" s="74">
        <v>2017</v>
      </c>
      <c r="D462" s="81">
        <v>321.37</v>
      </c>
      <c r="E462" s="72" t="s">
        <v>1958</v>
      </c>
      <c r="F462" s="76" t="s">
        <v>1959</v>
      </c>
      <c r="G462" s="72" t="s">
        <v>2176</v>
      </c>
      <c r="H462" s="72" t="s">
        <v>1905</v>
      </c>
      <c r="I462" s="72" t="s">
        <v>2404</v>
      </c>
      <c r="J462" s="89">
        <v>31.62</v>
      </c>
      <c r="K462" s="72" t="s">
        <v>2405</v>
      </c>
      <c r="L462" s="89">
        <v>5.72</v>
      </c>
      <c r="M462" s="78" t="s">
        <v>1824</v>
      </c>
      <c r="N462" s="78" t="s">
        <v>1825</v>
      </c>
      <c r="O462" s="78"/>
      <c r="P462" s="80">
        <v>321.37</v>
      </c>
    </row>
    <row r="463" spans="1:16" x14ac:dyDescent="0.25">
      <c r="A463" s="72" t="s">
        <v>311</v>
      </c>
      <c r="B463" s="72" t="s">
        <v>1011</v>
      </c>
      <c r="C463" s="74">
        <v>2017</v>
      </c>
      <c r="D463" s="81">
        <v>277.27</v>
      </c>
      <c r="E463" s="72" t="s">
        <v>1958</v>
      </c>
      <c r="F463" s="76" t="s">
        <v>1959</v>
      </c>
      <c r="G463" s="72" t="s">
        <v>2176</v>
      </c>
      <c r="H463" s="72" t="s">
        <v>1905</v>
      </c>
      <c r="I463" s="72" t="s">
        <v>2406</v>
      </c>
      <c r="J463" s="89">
        <v>26.89</v>
      </c>
      <c r="K463" s="72" t="s">
        <v>2407</v>
      </c>
      <c r="L463" s="89">
        <v>6.97</v>
      </c>
      <c r="M463" s="78" t="s">
        <v>1824</v>
      </c>
      <c r="N463" s="78" t="s">
        <v>1825</v>
      </c>
      <c r="O463" s="78"/>
      <c r="P463" s="80">
        <v>277.27</v>
      </c>
    </row>
    <row r="464" spans="1:16" x14ac:dyDescent="0.25">
      <c r="A464" s="72" t="s">
        <v>303</v>
      </c>
      <c r="B464" s="72" t="s">
        <v>1014</v>
      </c>
      <c r="C464" s="74">
        <v>2017</v>
      </c>
      <c r="D464" s="81">
        <v>351.08</v>
      </c>
      <c r="E464" s="72" t="s">
        <v>1958</v>
      </c>
      <c r="F464" s="76" t="s">
        <v>1959</v>
      </c>
      <c r="G464" s="72" t="s">
        <v>2176</v>
      </c>
      <c r="H464" s="72" t="s">
        <v>1905</v>
      </c>
      <c r="I464" s="72" t="s">
        <v>2408</v>
      </c>
      <c r="J464" s="89">
        <v>35.700000000000003</v>
      </c>
      <c r="K464" s="72" t="s">
        <v>2409</v>
      </c>
      <c r="L464" s="89">
        <v>8.1300000000000008</v>
      </c>
      <c r="M464" s="78" t="s">
        <v>1824</v>
      </c>
      <c r="N464" s="78" t="s">
        <v>1825</v>
      </c>
      <c r="O464" s="78"/>
      <c r="P464" s="80">
        <v>351.08</v>
      </c>
    </row>
    <row r="465" spans="1:16" x14ac:dyDescent="0.25">
      <c r="A465" s="72" t="s">
        <v>308</v>
      </c>
      <c r="B465" s="72" t="s">
        <v>1029</v>
      </c>
      <c r="C465" s="74">
        <v>2017</v>
      </c>
      <c r="D465" s="81">
        <v>158.52000000000001</v>
      </c>
      <c r="E465" s="72" t="s">
        <v>1958</v>
      </c>
      <c r="F465" s="76" t="s">
        <v>1959</v>
      </c>
      <c r="G465" s="72" t="s">
        <v>2176</v>
      </c>
      <c r="H465" s="72" t="s">
        <v>1905</v>
      </c>
      <c r="I465" s="72" t="s">
        <v>2410</v>
      </c>
      <c r="J465" s="89">
        <v>24.32</v>
      </c>
      <c r="K465" s="72" t="s">
        <v>2411</v>
      </c>
      <c r="L465" s="89">
        <v>4.55</v>
      </c>
      <c r="M465" s="78" t="s">
        <v>1824</v>
      </c>
      <c r="N465" s="78" t="s">
        <v>1825</v>
      </c>
      <c r="O465" s="78"/>
      <c r="P465" s="80">
        <v>158.52000000000001</v>
      </c>
    </row>
    <row r="466" spans="1:16" x14ac:dyDescent="0.25">
      <c r="A466" s="72" t="s">
        <v>330</v>
      </c>
      <c r="B466" s="72" t="s">
        <v>1032</v>
      </c>
      <c r="C466" s="74">
        <v>2017</v>
      </c>
      <c r="D466" s="81">
        <v>208.71</v>
      </c>
      <c r="E466" s="72" t="s">
        <v>1958</v>
      </c>
      <c r="F466" s="76" t="s">
        <v>1959</v>
      </c>
      <c r="G466" s="72" t="s">
        <v>2176</v>
      </c>
      <c r="H466" s="72" t="s">
        <v>1905</v>
      </c>
      <c r="I466" s="72" t="s">
        <v>2412</v>
      </c>
      <c r="J466" s="89">
        <v>31.72</v>
      </c>
      <c r="K466" s="72" t="s">
        <v>2413</v>
      </c>
      <c r="L466" s="89">
        <v>5.72</v>
      </c>
      <c r="M466" s="78" t="s">
        <v>1824</v>
      </c>
      <c r="N466" s="78" t="s">
        <v>1825</v>
      </c>
      <c r="O466" s="78"/>
      <c r="P466" s="80">
        <v>208.71</v>
      </c>
    </row>
    <row r="467" spans="1:16" x14ac:dyDescent="0.25">
      <c r="A467" s="72" t="s">
        <v>348</v>
      </c>
      <c r="B467" s="72" t="s">
        <v>1035</v>
      </c>
      <c r="C467" s="74">
        <v>2017</v>
      </c>
      <c r="D467" s="81">
        <v>188.23</v>
      </c>
      <c r="E467" s="72" t="s">
        <v>1958</v>
      </c>
      <c r="F467" s="76" t="s">
        <v>1959</v>
      </c>
      <c r="G467" s="72" t="s">
        <v>2176</v>
      </c>
      <c r="H467" s="72" t="s">
        <v>1905</v>
      </c>
      <c r="I467" s="72" t="s">
        <v>2414</v>
      </c>
      <c r="J467" s="89">
        <v>24.32</v>
      </c>
      <c r="K467" s="72" t="s">
        <v>2415</v>
      </c>
      <c r="L467" s="89">
        <v>6.97</v>
      </c>
      <c r="M467" s="78" t="s">
        <v>1824</v>
      </c>
      <c r="N467" s="78" t="s">
        <v>1825</v>
      </c>
      <c r="O467" s="78"/>
      <c r="P467" s="80">
        <v>188.23</v>
      </c>
    </row>
    <row r="468" spans="1:16" x14ac:dyDescent="0.25">
      <c r="A468" s="72" t="s">
        <v>71</v>
      </c>
      <c r="B468" s="72" t="s">
        <v>1038</v>
      </c>
      <c r="C468" s="74">
        <v>2017</v>
      </c>
      <c r="D468" s="81">
        <v>238.42</v>
      </c>
      <c r="E468" s="72" t="s">
        <v>1958</v>
      </c>
      <c r="F468" s="76" t="s">
        <v>1959</v>
      </c>
      <c r="G468" s="72" t="s">
        <v>2176</v>
      </c>
      <c r="H468" s="72" t="s">
        <v>1905</v>
      </c>
      <c r="I468" s="72" t="s">
        <v>2416</v>
      </c>
      <c r="J468" s="89">
        <v>31.72</v>
      </c>
      <c r="K468" s="72" t="s">
        <v>2417</v>
      </c>
      <c r="L468" s="89">
        <v>8.1300000000000008</v>
      </c>
      <c r="M468" s="78" t="s">
        <v>1824</v>
      </c>
      <c r="N468" s="78" t="s">
        <v>1825</v>
      </c>
      <c r="O468" s="78"/>
      <c r="P468" s="80">
        <v>238.42</v>
      </c>
    </row>
    <row r="469" spans="1:16" x14ac:dyDescent="0.25">
      <c r="A469" s="72" t="s">
        <v>117</v>
      </c>
      <c r="B469" s="72" t="s">
        <v>1053</v>
      </c>
      <c r="C469" s="74">
        <v>2017</v>
      </c>
      <c r="D469" s="81">
        <v>72.040000000000006</v>
      </c>
      <c r="E469" s="72" t="s">
        <v>1958</v>
      </c>
      <c r="F469" s="76" t="s">
        <v>1959</v>
      </c>
      <c r="G469" s="72" t="s">
        <v>2167</v>
      </c>
      <c r="H469" s="72" t="s">
        <v>1905</v>
      </c>
      <c r="I469" s="72" t="s">
        <v>2418</v>
      </c>
      <c r="J469" s="89">
        <v>24.32</v>
      </c>
      <c r="K469" s="72" t="s">
        <v>2419</v>
      </c>
      <c r="L469" s="89">
        <v>4.55</v>
      </c>
      <c r="M469" s="78" t="s">
        <v>1824</v>
      </c>
      <c r="N469" s="78" t="s">
        <v>1825</v>
      </c>
      <c r="O469" s="78"/>
      <c r="P469" s="80">
        <v>72.040000000000006</v>
      </c>
    </row>
    <row r="470" spans="1:16" x14ac:dyDescent="0.25">
      <c r="A470" s="72" t="s">
        <v>293</v>
      </c>
      <c r="B470" s="72" t="s">
        <v>1056</v>
      </c>
      <c r="C470" s="74">
        <v>2017</v>
      </c>
      <c r="D470" s="81">
        <v>113.87</v>
      </c>
      <c r="E470" s="72" t="s">
        <v>1958</v>
      </c>
      <c r="F470" s="76" t="s">
        <v>1959</v>
      </c>
      <c r="G470" s="72" t="s">
        <v>2167</v>
      </c>
      <c r="H470" s="72" t="s">
        <v>1905</v>
      </c>
      <c r="I470" s="72" t="s">
        <v>2420</v>
      </c>
      <c r="J470" s="89">
        <v>31.72</v>
      </c>
      <c r="K470" s="72" t="s">
        <v>2421</v>
      </c>
      <c r="L470" s="89">
        <v>5.72</v>
      </c>
      <c r="M470" s="78" t="s">
        <v>1824</v>
      </c>
      <c r="N470" s="78" t="s">
        <v>1825</v>
      </c>
      <c r="O470" s="78"/>
      <c r="P470" s="80">
        <v>113.87</v>
      </c>
    </row>
    <row r="471" spans="1:16" x14ac:dyDescent="0.25">
      <c r="A471" s="72" t="s">
        <v>96</v>
      </c>
      <c r="B471" s="72" t="s">
        <v>1065</v>
      </c>
      <c r="C471" s="74">
        <v>2017</v>
      </c>
      <c r="D471" s="81">
        <v>107.4</v>
      </c>
      <c r="E471" s="72" t="s">
        <v>1958</v>
      </c>
      <c r="F471" s="76" t="s">
        <v>1959</v>
      </c>
      <c r="G471" s="72" t="s">
        <v>2176</v>
      </c>
      <c r="H471" s="72" t="s">
        <v>1905</v>
      </c>
      <c r="I471" s="72" t="s">
        <v>2422</v>
      </c>
      <c r="J471" s="89">
        <v>24.32</v>
      </c>
      <c r="K471" s="72" t="s">
        <v>2423</v>
      </c>
      <c r="L471" s="89">
        <v>4.55</v>
      </c>
      <c r="M471" s="78" t="s">
        <v>1824</v>
      </c>
      <c r="N471" s="78" t="s">
        <v>1825</v>
      </c>
      <c r="O471" s="78"/>
      <c r="P471" s="80">
        <v>107.4</v>
      </c>
    </row>
    <row r="472" spans="1:16" x14ac:dyDescent="0.25">
      <c r="A472" s="72" t="s">
        <v>87</v>
      </c>
      <c r="B472" s="72" t="s">
        <v>1068</v>
      </c>
      <c r="C472" s="74">
        <v>2017</v>
      </c>
      <c r="D472" s="81">
        <v>142.27000000000001</v>
      </c>
      <c r="E472" s="72" t="s">
        <v>1958</v>
      </c>
      <c r="F472" s="76" t="s">
        <v>1959</v>
      </c>
      <c r="G472" s="72" t="s">
        <v>2176</v>
      </c>
      <c r="H472" s="72" t="s">
        <v>1905</v>
      </c>
      <c r="I472" s="72" t="s">
        <v>2424</v>
      </c>
      <c r="J472" s="89">
        <v>31.72</v>
      </c>
      <c r="K472" s="72" t="s">
        <v>2425</v>
      </c>
      <c r="L472" s="89">
        <v>5.72</v>
      </c>
      <c r="M472" s="78" t="s">
        <v>1824</v>
      </c>
      <c r="N472" s="78" t="s">
        <v>1825</v>
      </c>
      <c r="O472" s="78"/>
      <c r="P472" s="80">
        <v>142.27000000000001</v>
      </c>
    </row>
    <row r="473" spans="1:16" x14ac:dyDescent="0.25">
      <c r="A473" s="72" t="s">
        <v>361</v>
      </c>
      <c r="B473" s="72" t="s">
        <v>1077</v>
      </c>
      <c r="C473" s="74">
        <v>2017</v>
      </c>
      <c r="D473" s="81">
        <v>131.62</v>
      </c>
      <c r="E473" s="72" t="s">
        <v>1958</v>
      </c>
      <c r="F473" s="76" t="s">
        <v>1959</v>
      </c>
      <c r="G473" s="72" t="s">
        <v>2176</v>
      </c>
      <c r="H473" s="72" t="s">
        <v>1905</v>
      </c>
      <c r="I473" s="72" t="s">
        <v>2426</v>
      </c>
      <c r="J473" s="89">
        <v>24.32</v>
      </c>
      <c r="K473" s="72" t="s">
        <v>2427</v>
      </c>
      <c r="L473" s="89">
        <v>4.55</v>
      </c>
      <c r="M473" s="78" t="s">
        <v>1824</v>
      </c>
      <c r="N473" s="78" t="s">
        <v>1825</v>
      </c>
      <c r="O473" s="78"/>
      <c r="P473" s="80">
        <v>131.62</v>
      </c>
    </row>
    <row r="474" spans="1:16" x14ac:dyDescent="0.25">
      <c r="A474" s="72" t="s">
        <v>172</v>
      </c>
      <c r="B474" s="72" t="s">
        <v>1080</v>
      </c>
      <c r="C474" s="74">
        <v>2017</v>
      </c>
      <c r="D474" s="81">
        <v>166.5</v>
      </c>
      <c r="E474" s="72" t="s">
        <v>1958</v>
      </c>
      <c r="F474" s="76" t="s">
        <v>1959</v>
      </c>
      <c r="G474" s="72" t="s">
        <v>2176</v>
      </c>
      <c r="H474" s="72" t="s">
        <v>1905</v>
      </c>
      <c r="I474" s="72" t="s">
        <v>2428</v>
      </c>
      <c r="J474" s="89">
        <v>31.72</v>
      </c>
      <c r="K474" s="72" t="s">
        <v>2429</v>
      </c>
      <c r="L474" s="89">
        <v>5.72</v>
      </c>
      <c r="M474" s="78" t="s">
        <v>1824</v>
      </c>
      <c r="N474" s="78" t="s">
        <v>1825</v>
      </c>
      <c r="O474" s="78"/>
      <c r="P474" s="80">
        <v>166.5</v>
      </c>
    </row>
    <row r="475" spans="1:16" x14ac:dyDescent="0.25">
      <c r="A475" s="72" t="s">
        <v>379</v>
      </c>
      <c r="B475" s="72" t="s">
        <v>1083</v>
      </c>
      <c r="C475" s="74">
        <v>2017</v>
      </c>
      <c r="D475" s="81">
        <v>152.19</v>
      </c>
      <c r="E475" s="72" t="s">
        <v>1958</v>
      </c>
      <c r="F475" s="76" t="s">
        <v>1959</v>
      </c>
      <c r="G475" s="72" t="s">
        <v>2176</v>
      </c>
      <c r="H475" s="72" t="s">
        <v>1905</v>
      </c>
      <c r="I475" s="72" t="s">
        <v>2430</v>
      </c>
      <c r="J475" s="89">
        <v>24.32</v>
      </c>
      <c r="K475" s="72" t="s">
        <v>2431</v>
      </c>
      <c r="L475" s="89">
        <v>6.97</v>
      </c>
      <c r="M475" s="78" t="s">
        <v>1824</v>
      </c>
      <c r="N475" s="78" t="s">
        <v>1825</v>
      </c>
      <c r="O475" s="78"/>
      <c r="P475" s="80">
        <v>152.19</v>
      </c>
    </row>
    <row r="476" spans="1:16" x14ac:dyDescent="0.25">
      <c r="A476" s="72" t="s">
        <v>77</v>
      </c>
      <c r="B476" s="72" t="s">
        <v>1086</v>
      </c>
      <c r="C476" s="74">
        <v>2017</v>
      </c>
      <c r="D476" s="81">
        <v>187.07</v>
      </c>
      <c r="E476" s="72" t="s">
        <v>1958</v>
      </c>
      <c r="F476" s="76" t="s">
        <v>1959</v>
      </c>
      <c r="G476" s="72" t="s">
        <v>2176</v>
      </c>
      <c r="H476" s="72" t="s">
        <v>1905</v>
      </c>
      <c r="I476" s="72" t="s">
        <v>2432</v>
      </c>
      <c r="J476" s="89">
        <v>31.72</v>
      </c>
      <c r="K476" s="72" t="s">
        <v>2433</v>
      </c>
      <c r="L476" s="89">
        <v>8.1300000000000008</v>
      </c>
      <c r="M476" s="78" t="s">
        <v>1824</v>
      </c>
      <c r="N476" s="78" t="s">
        <v>1825</v>
      </c>
      <c r="O476" s="78"/>
      <c r="P476" s="80">
        <v>187.07</v>
      </c>
    </row>
    <row r="477" spans="1:16" x14ac:dyDescent="0.25">
      <c r="A477" s="72" t="s">
        <v>232</v>
      </c>
      <c r="B477" s="72" t="s">
        <v>1101</v>
      </c>
      <c r="C477" s="74">
        <v>2017</v>
      </c>
      <c r="D477" s="81">
        <v>167.3</v>
      </c>
      <c r="E477" s="72" t="s">
        <v>1958</v>
      </c>
      <c r="F477" s="76" t="s">
        <v>1959</v>
      </c>
      <c r="G477" s="72" t="s">
        <v>2176</v>
      </c>
      <c r="H477" s="72" t="s">
        <v>1905</v>
      </c>
      <c r="I477" s="72" t="s">
        <v>2434</v>
      </c>
      <c r="J477" s="89">
        <v>24.74</v>
      </c>
      <c r="K477" s="72" t="s">
        <v>2435</v>
      </c>
      <c r="L477" s="89">
        <v>4.55</v>
      </c>
      <c r="M477" s="78" t="s">
        <v>1824</v>
      </c>
      <c r="N477" s="78" t="s">
        <v>1825</v>
      </c>
      <c r="O477" s="78"/>
      <c r="P477" s="80">
        <v>167.3</v>
      </c>
    </row>
    <row r="478" spans="1:16" x14ac:dyDescent="0.25">
      <c r="A478" s="72" t="s">
        <v>218</v>
      </c>
      <c r="B478" s="72" t="s">
        <v>1104</v>
      </c>
      <c r="C478" s="74">
        <v>2017</v>
      </c>
      <c r="D478" s="81">
        <v>214.38</v>
      </c>
      <c r="E478" s="72" t="s">
        <v>1958</v>
      </c>
      <c r="F478" s="76" t="s">
        <v>1959</v>
      </c>
      <c r="G478" s="72" t="s">
        <v>2176</v>
      </c>
      <c r="H478" s="72" t="s">
        <v>1905</v>
      </c>
      <c r="I478" s="72" t="s">
        <v>2436</v>
      </c>
      <c r="J478" s="89">
        <v>33.549999999999997</v>
      </c>
      <c r="K478" s="72" t="s">
        <v>2437</v>
      </c>
      <c r="L478" s="89">
        <v>5.72</v>
      </c>
      <c r="M478" s="78" t="s">
        <v>1824</v>
      </c>
      <c r="N478" s="78" t="s">
        <v>1825</v>
      </c>
      <c r="O478" s="78"/>
      <c r="P478" s="80">
        <v>214.38</v>
      </c>
    </row>
    <row r="479" spans="1:16" x14ac:dyDescent="0.25">
      <c r="A479" s="72" t="s">
        <v>261</v>
      </c>
      <c r="B479" s="72" t="s">
        <v>1107</v>
      </c>
      <c r="C479" s="74">
        <v>2017</v>
      </c>
      <c r="D479" s="81">
        <v>191.66</v>
      </c>
      <c r="E479" s="72" t="s">
        <v>1958</v>
      </c>
      <c r="F479" s="76" t="s">
        <v>1959</v>
      </c>
      <c r="G479" s="72" t="s">
        <v>2176</v>
      </c>
      <c r="H479" s="72" t="s">
        <v>1905</v>
      </c>
      <c r="I479" s="72" t="s">
        <v>2438</v>
      </c>
      <c r="J479" s="89">
        <v>28.81</v>
      </c>
      <c r="K479" s="72" t="s">
        <v>2439</v>
      </c>
      <c r="L479" s="89">
        <v>6.97</v>
      </c>
      <c r="M479" s="78" t="s">
        <v>1824</v>
      </c>
      <c r="N479" s="78" t="s">
        <v>1825</v>
      </c>
      <c r="O479" s="78"/>
      <c r="P479" s="80">
        <v>191.66</v>
      </c>
    </row>
    <row r="480" spans="1:16" x14ac:dyDescent="0.25">
      <c r="A480" s="72" t="s">
        <v>208</v>
      </c>
      <c r="B480" s="72" t="s">
        <v>1110</v>
      </c>
      <c r="C480" s="74">
        <v>2017</v>
      </c>
      <c r="D480" s="81">
        <v>238.71</v>
      </c>
      <c r="E480" s="72" t="s">
        <v>1958</v>
      </c>
      <c r="F480" s="76" t="s">
        <v>1959</v>
      </c>
      <c r="G480" s="72" t="s">
        <v>2176</v>
      </c>
      <c r="H480" s="72" t="s">
        <v>1905</v>
      </c>
      <c r="I480" s="72" t="s">
        <v>2440</v>
      </c>
      <c r="J480" s="89">
        <v>37.619999999999997</v>
      </c>
      <c r="K480" s="72" t="s">
        <v>2441</v>
      </c>
      <c r="L480" s="89">
        <v>8.1300000000000008</v>
      </c>
      <c r="M480" s="78" t="s">
        <v>1824</v>
      </c>
      <c r="N480" s="78" t="s">
        <v>1825</v>
      </c>
      <c r="O480" s="78"/>
      <c r="P480" s="80">
        <v>238.71</v>
      </c>
    </row>
    <row r="481" spans="1:16" x14ac:dyDescent="0.25">
      <c r="A481" s="72" t="s">
        <v>215</v>
      </c>
      <c r="B481" s="72" t="s">
        <v>1125</v>
      </c>
      <c r="C481" s="74">
        <v>2017</v>
      </c>
      <c r="D481" s="81">
        <v>184.06</v>
      </c>
      <c r="E481" s="72" t="s">
        <v>1958</v>
      </c>
      <c r="F481" s="76" t="s">
        <v>1959</v>
      </c>
      <c r="G481" s="72" t="s">
        <v>2176</v>
      </c>
      <c r="H481" s="72" t="s">
        <v>1905</v>
      </c>
      <c r="I481" s="72" t="s">
        <v>2442</v>
      </c>
      <c r="J481" s="89">
        <v>29.91</v>
      </c>
      <c r="K481" s="72" t="s">
        <v>2443</v>
      </c>
      <c r="L481" s="89">
        <v>4.55</v>
      </c>
      <c r="M481" s="78" t="s">
        <v>1824</v>
      </c>
      <c r="N481" s="78" t="s">
        <v>1825</v>
      </c>
      <c r="O481" s="78"/>
      <c r="P481" s="80">
        <v>184.06</v>
      </c>
    </row>
    <row r="482" spans="1:16" x14ac:dyDescent="0.25">
      <c r="A482" s="72" t="s">
        <v>189</v>
      </c>
      <c r="B482" s="72" t="s">
        <v>1128</v>
      </c>
      <c r="C482" s="74">
        <v>2017</v>
      </c>
      <c r="D482" s="81">
        <v>231.12</v>
      </c>
      <c r="E482" s="72" t="s">
        <v>1958</v>
      </c>
      <c r="F482" s="76" t="s">
        <v>1959</v>
      </c>
      <c r="G482" s="72" t="s">
        <v>2176</v>
      </c>
      <c r="H482" s="72" t="s">
        <v>1905</v>
      </c>
      <c r="I482" s="72" t="s">
        <v>2444</v>
      </c>
      <c r="J482" s="89">
        <v>40.590000000000003</v>
      </c>
      <c r="K482" s="72" t="s">
        <v>2445</v>
      </c>
      <c r="L482" s="89">
        <v>5.72</v>
      </c>
      <c r="M482" s="78" t="s">
        <v>1824</v>
      </c>
      <c r="N482" s="78" t="s">
        <v>1825</v>
      </c>
      <c r="O482" s="78"/>
      <c r="P482" s="80">
        <v>231.12</v>
      </c>
    </row>
    <row r="483" spans="1:16" x14ac:dyDescent="0.25">
      <c r="A483" s="72" t="s">
        <v>85</v>
      </c>
      <c r="B483" s="72" t="s">
        <v>1131</v>
      </c>
      <c r="C483" s="74">
        <v>2017</v>
      </c>
      <c r="D483" s="81">
        <v>212.67</v>
      </c>
      <c r="E483" s="72" t="s">
        <v>1958</v>
      </c>
      <c r="F483" s="76" t="s">
        <v>1959</v>
      </c>
      <c r="G483" s="72" t="s">
        <v>2176</v>
      </c>
      <c r="H483" s="72" t="s">
        <v>1905</v>
      </c>
      <c r="I483" s="72" t="s">
        <v>2446</v>
      </c>
      <c r="J483" s="89">
        <v>33.979999999999997</v>
      </c>
      <c r="K483" s="72" t="s">
        <v>2447</v>
      </c>
      <c r="L483" s="89">
        <v>6.97</v>
      </c>
      <c r="M483" s="78" t="s">
        <v>1824</v>
      </c>
      <c r="N483" s="78" t="s">
        <v>1825</v>
      </c>
      <c r="O483" s="78"/>
      <c r="P483" s="80">
        <v>212.67</v>
      </c>
    </row>
    <row r="484" spans="1:16" x14ac:dyDescent="0.25">
      <c r="A484" s="72" t="s">
        <v>239</v>
      </c>
      <c r="B484" s="72" t="s">
        <v>1134</v>
      </c>
      <c r="C484" s="74">
        <v>2017</v>
      </c>
      <c r="D484" s="81">
        <v>259.7</v>
      </c>
      <c r="E484" s="72" t="s">
        <v>1958</v>
      </c>
      <c r="F484" s="76" t="s">
        <v>1959</v>
      </c>
      <c r="G484" s="72" t="s">
        <v>2176</v>
      </c>
      <c r="H484" s="72" t="s">
        <v>1905</v>
      </c>
      <c r="I484" s="72" t="s">
        <v>2448</v>
      </c>
      <c r="J484" s="89">
        <v>44.66</v>
      </c>
      <c r="K484" s="72" t="s">
        <v>2449</v>
      </c>
      <c r="L484" s="89">
        <v>8.1300000000000008</v>
      </c>
      <c r="M484" s="78" t="s">
        <v>1824</v>
      </c>
      <c r="N484" s="78" t="s">
        <v>1825</v>
      </c>
      <c r="O484" s="78"/>
      <c r="P484" s="80">
        <v>259.7</v>
      </c>
    </row>
    <row r="485" spans="1:16" x14ac:dyDescent="0.25">
      <c r="A485" s="72" t="s">
        <v>2450</v>
      </c>
      <c r="B485" s="72" t="s">
        <v>2451</v>
      </c>
      <c r="C485" s="74">
        <v>2017</v>
      </c>
      <c r="D485" s="81">
        <v>8.5299999999999994</v>
      </c>
      <c r="E485" s="72" t="s">
        <v>1958</v>
      </c>
      <c r="F485" s="76" t="s">
        <v>1959</v>
      </c>
      <c r="G485" s="72" t="s">
        <v>2099</v>
      </c>
      <c r="H485" s="72" t="s">
        <v>1905</v>
      </c>
      <c r="I485" s="72" t="s">
        <v>1893</v>
      </c>
      <c r="J485" s="77" t="s">
        <v>1893</v>
      </c>
      <c r="K485" s="77"/>
      <c r="L485" s="77"/>
      <c r="M485" s="78" t="s">
        <v>1824</v>
      </c>
      <c r="N485" s="78" t="s">
        <v>1825</v>
      </c>
      <c r="O485" s="90"/>
      <c r="P485" s="80">
        <v>8.5299999999999994</v>
      </c>
    </row>
    <row r="486" spans="1:16" x14ac:dyDescent="0.25">
      <c r="A486" s="72" t="s">
        <v>2452</v>
      </c>
      <c r="B486" s="72" t="s">
        <v>2453</v>
      </c>
      <c r="C486" s="74">
        <v>2017</v>
      </c>
      <c r="D486" s="81">
        <v>10.72</v>
      </c>
      <c r="E486" s="72" t="s">
        <v>1958</v>
      </c>
      <c r="F486" s="76" t="s">
        <v>1959</v>
      </c>
      <c r="G486" s="72" t="s">
        <v>2099</v>
      </c>
      <c r="H486" s="72" t="s">
        <v>1905</v>
      </c>
      <c r="I486" s="72" t="s">
        <v>1893</v>
      </c>
      <c r="J486" s="77" t="s">
        <v>1893</v>
      </c>
      <c r="K486" s="77"/>
      <c r="L486" s="77"/>
      <c r="M486" s="78" t="s">
        <v>1824</v>
      </c>
      <c r="N486" s="78" t="s">
        <v>1825</v>
      </c>
      <c r="O486" s="90"/>
      <c r="P486" s="80">
        <v>10.72</v>
      </c>
    </row>
    <row r="487" spans="1:16" x14ac:dyDescent="0.25">
      <c r="A487" s="72" t="s">
        <v>2454</v>
      </c>
      <c r="B487" s="72" t="s">
        <v>2455</v>
      </c>
      <c r="C487" s="74">
        <v>2017</v>
      </c>
      <c r="D487" s="81">
        <v>8.9700000000000006</v>
      </c>
      <c r="E487" s="72" t="s">
        <v>1958</v>
      </c>
      <c r="F487" s="76" t="s">
        <v>1959</v>
      </c>
      <c r="G487" s="72" t="s">
        <v>2099</v>
      </c>
      <c r="H487" s="72" t="s">
        <v>1905</v>
      </c>
      <c r="I487" s="72" t="s">
        <v>1893</v>
      </c>
      <c r="J487" s="77" t="s">
        <v>1893</v>
      </c>
      <c r="K487" s="77"/>
      <c r="L487" s="77"/>
      <c r="M487" s="78" t="s">
        <v>1824</v>
      </c>
      <c r="N487" s="78" t="s">
        <v>1825</v>
      </c>
      <c r="O487" s="90"/>
      <c r="P487" s="80">
        <v>8.9700000000000006</v>
      </c>
    </row>
    <row r="488" spans="1:16" x14ac:dyDescent="0.25">
      <c r="A488" s="72" t="s">
        <v>2456</v>
      </c>
      <c r="B488" s="72" t="s">
        <v>2457</v>
      </c>
      <c r="C488" s="74">
        <v>2017</v>
      </c>
      <c r="D488" s="81">
        <v>3.3</v>
      </c>
      <c r="E488" s="72" t="s">
        <v>1958</v>
      </c>
      <c r="F488" s="76" t="s">
        <v>1959</v>
      </c>
      <c r="G488" s="72" t="s">
        <v>2099</v>
      </c>
      <c r="H488" s="72" t="s">
        <v>1905</v>
      </c>
      <c r="I488" s="72" t="s">
        <v>1893</v>
      </c>
      <c r="J488" s="77" t="s">
        <v>1893</v>
      </c>
      <c r="K488" s="77"/>
      <c r="L488" s="77"/>
      <c r="M488" s="78" t="s">
        <v>1824</v>
      </c>
      <c r="N488" s="78" t="s">
        <v>1825</v>
      </c>
      <c r="O488" s="90"/>
      <c r="P488" s="80">
        <v>3.3</v>
      </c>
    </row>
    <row r="489" spans="1:16" x14ac:dyDescent="0.25">
      <c r="A489" s="72" t="s">
        <v>2458</v>
      </c>
      <c r="B489" s="72" t="s">
        <v>2459</v>
      </c>
      <c r="C489" s="74">
        <v>2017</v>
      </c>
      <c r="D489" s="81">
        <v>3.21</v>
      </c>
      <c r="E489" s="72" t="s">
        <v>1958</v>
      </c>
      <c r="F489" s="76" t="s">
        <v>1959</v>
      </c>
      <c r="G489" s="72" t="s">
        <v>2099</v>
      </c>
      <c r="H489" s="72" t="s">
        <v>1905</v>
      </c>
      <c r="I489" s="72" t="s">
        <v>1893</v>
      </c>
      <c r="J489" s="77" t="s">
        <v>1893</v>
      </c>
      <c r="K489" s="77"/>
      <c r="L489" s="77"/>
      <c r="M489" s="78" t="s">
        <v>1824</v>
      </c>
      <c r="N489" s="78" t="s">
        <v>1825</v>
      </c>
      <c r="O489" s="90"/>
      <c r="P489" s="80">
        <v>3.21</v>
      </c>
    </row>
    <row r="490" spans="1:16" x14ac:dyDescent="0.25">
      <c r="A490" s="72" t="s">
        <v>2460</v>
      </c>
      <c r="B490" s="72" t="s">
        <v>2461</v>
      </c>
      <c r="C490" s="74">
        <v>2017</v>
      </c>
      <c r="D490" s="81">
        <v>3.3</v>
      </c>
      <c r="E490" s="72" t="s">
        <v>1958</v>
      </c>
      <c r="F490" s="76" t="s">
        <v>1959</v>
      </c>
      <c r="G490" s="72" t="s">
        <v>2099</v>
      </c>
      <c r="H490" s="72" t="s">
        <v>1905</v>
      </c>
      <c r="I490" s="72" t="s">
        <v>1893</v>
      </c>
      <c r="J490" s="77" t="s">
        <v>1893</v>
      </c>
      <c r="K490" s="77"/>
      <c r="L490" s="77"/>
      <c r="M490" s="78" t="s">
        <v>1824</v>
      </c>
      <c r="N490" s="78" t="s">
        <v>1825</v>
      </c>
      <c r="O490" s="90"/>
      <c r="P490" s="80">
        <v>3.3</v>
      </c>
    </row>
    <row r="491" spans="1:16" x14ac:dyDescent="0.25">
      <c r="A491" s="72" t="s">
        <v>2462</v>
      </c>
      <c r="B491" s="72" t="s">
        <v>2463</v>
      </c>
      <c r="C491" s="74">
        <v>2017</v>
      </c>
      <c r="D491" s="81">
        <v>3.07</v>
      </c>
      <c r="E491" s="72" t="s">
        <v>1958</v>
      </c>
      <c r="F491" s="76" t="s">
        <v>1959</v>
      </c>
      <c r="G491" s="72" t="s">
        <v>2099</v>
      </c>
      <c r="H491" s="72" t="s">
        <v>1905</v>
      </c>
      <c r="I491" s="72" t="s">
        <v>1893</v>
      </c>
      <c r="J491" s="77" t="s">
        <v>1893</v>
      </c>
      <c r="K491" s="77"/>
      <c r="L491" s="77"/>
      <c r="M491" s="78" t="s">
        <v>1824</v>
      </c>
      <c r="N491" s="78" t="s">
        <v>1825</v>
      </c>
      <c r="O491" s="90"/>
      <c r="P491" s="80">
        <v>3.07</v>
      </c>
    </row>
    <row r="492" spans="1:16" x14ac:dyDescent="0.25">
      <c r="A492" s="72" t="s">
        <v>2464</v>
      </c>
      <c r="B492" s="72" t="s">
        <v>2465</v>
      </c>
      <c r="C492" s="74">
        <v>2017</v>
      </c>
      <c r="D492" s="81">
        <v>3.68</v>
      </c>
      <c r="E492" s="72" t="s">
        <v>1958</v>
      </c>
      <c r="F492" s="76" t="s">
        <v>1959</v>
      </c>
      <c r="G492" s="72" t="s">
        <v>2099</v>
      </c>
      <c r="H492" s="72" t="s">
        <v>1905</v>
      </c>
      <c r="I492" s="72" t="s">
        <v>1893</v>
      </c>
      <c r="J492" s="77" t="s">
        <v>1893</v>
      </c>
      <c r="K492" s="77"/>
      <c r="L492" s="77"/>
      <c r="M492" s="78" t="s">
        <v>1824</v>
      </c>
      <c r="N492" s="78" t="s">
        <v>1825</v>
      </c>
      <c r="O492" s="90"/>
      <c r="P492" s="80">
        <v>3.68</v>
      </c>
    </row>
    <row r="493" spans="1:16" x14ac:dyDescent="0.25">
      <c r="A493" s="72" t="s">
        <v>2466</v>
      </c>
      <c r="B493" s="72" t="s">
        <v>2467</v>
      </c>
      <c r="C493" s="74">
        <v>2017</v>
      </c>
      <c r="D493" s="81">
        <v>2.91</v>
      </c>
      <c r="E493" s="72" t="s">
        <v>1958</v>
      </c>
      <c r="F493" s="76" t="s">
        <v>1959</v>
      </c>
      <c r="G493" s="72" t="s">
        <v>2099</v>
      </c>
      <c r="H493" s="72" t="s">
        <v>1905</v>
      </c>
      <c r="I493" s="72" t="s">
        <v>1893</v>
      </c>
      <c r="J493" s="77" t="s">
        <v>1893</v>
      </c>
      <c r="K493" s="77"/>
      <c r="L493" s="77"/>
      <c r="M493" s="78" t="s">
        <v>1824</v>
      </c>
      <c r="N493" s="78" t="s">
        <v>1825</v>
      </c>
      <c r="O493" s="90"/>
      <c r="P493" s="80">
        <v>2.91</v>
      </c>
    </row>
    <row r="494" spans="1:16" x14ac:dyDescent="0.25">
      <c r="A494" s="72" t="s">
        <v>2468</v>
      </c>
      <c r="B494" s="72" t="s">
        <v>2469</v>
      </c>
      <c r="C494" s="74">
        <v>2017</v>
      </c>
      <c r="D494" s="81">
        <v>3.68</v>
      </c>
      <c r="E494" s="72" t="s">
        <v>1958</v>
      </c>
      <c r="F494" s="76" t="s">
        <v>1959</v>
      </c>
      <c r="G494" s="72" t="s">
        <v>2099</v>
      </c>
      <c r="H494" s="72" t="s">
        <v>1905</v>
      </c>
      <c r="I494" s="72" t="s">
        <v>1893</v>
      </c>
      <c r="J494" s="77" t="s">
        <v>1893</v>
      </c>
      <c r="K494" s="77"/>
      <c r="L494" s="77"/>
      <c r="M494" s="78" t="s">
        <v>1824</v>
      </c>
      <c r="N494" s="78" t="s">
        <v>1825</v>
      </c>
      <c r="O494" s="90"/>
      <c r="P494" s="80">
        <v>3.68</v>
      </c>
    </row>
    <row r="495" spans="1:16" x14ac:dyDescent="0.25">
      <c r="A495" s="72" t="s">
        <v>2470</v>
      </c>
      <c r="B495" s="72" t="s">
        <v>2471</v>
      </c>
      <c r="C495" s="74">
        <v>2017</v>
      </c>
      <c r="D495" s="81">
        <v>1.39</v>
      </c>
      <c r="E495" s="72" t="s">
        <v>1958</v>
      </c>
      <c r="F495" s="76" t="s">
        <v>1959</v>
      </c>
      <c r="G495" s="72" t="s">
        <v>2472</v>
      </c>
      <c r="H495" s="72" t="s">
        <v>1905</v>
      </c>
      <c r="I495" s="72" t="s">
        <v>1893</v>
      </c>
      <c r="J495" s="77" t="s">
        <v>1893</v>
      </c>
      <c r="K495" s="77"/>
      <c r="L495" s="77"/>
      <c r="M495" s="78" t="s">
        <v>1824</v>
      </c>
      <c r="N495" s="78" t="s">
        <v>1825</v>
      </c>
      <c r="O495" s="90"/>
      <c r="P495" s="80">
        <v>1.39</v>
      </c>
    </row>
    <row r="496" spans="1:16" x14ac:dyDescent="0.25">
      <c r="A496" s="72" t="s">
        <v>2473</v>
      </c>
      <c r="B496" s="72" t="s">
        <v>2474</v>
      </c>
      <c r="C496" s="74">
        <v>2017</v>
      </c>
      <c r="D496" s="81">
        <v>1.42</v>
      </c>
      <c r="E496" s="72" t="s">
        <v>1958</v>
      </c>
      <c r="F496" s="76" t="s">
        <v>1959</v>
      </c>
      <c r="G496" s="72" t="s">
        <v>2472</v>
      </c>
      <c r="H496" s="72" t="s">
        <v>1905</v>
      </c>
      <c r="I496" s="72" t="s">
        <v>1893</v>
      </c>
      <c r="J496" s="77" t="s">
        <v>1893</v>
      </c>
      <c r="K496" s="77"/>
      <c r="L496" s="77"/>
      <c r="M496" s="78" t="s">
        <v>1824</v>
      </c>
      <c r="N496" s="78" t="s">
        <v>1825</v>
      </c>
      <c r="O496" s="90"/>
      <c r="P496" s="80">
        <v>1.42</v>
      </c>
    </row>
    <row r="497" spans="1:16" x14ac:dyDescent="0.25">
      <c r="A497" s="72" t="s">
        <v>2475</v>
      </c>
      <c r="B497" s="72" t="s">
        <v>2476</v>
      </c>
      <c r="C497" s="74">
        <v>2017</v>
      </c>
      <c r="D497" s="81">
        <v>1.86</v>
      </c>
      <c r="E497" s="72" t="s">
        <v>1958</v>
      </c>
      <c r="F497" s="76" t="s">
        <v>1959</v>
      </c>
      <c r="G497" s="72" t="s">
        <v>2472</v>
      </c>
      <c r="H497" s="72" t="s">
        <v>1905</v>
      </c>
      <c r="I497" s="72" t="s">
        <v>1893</v>
      </c>
      <c r="J497" s="77" t="s">
        <v>1893</v>
      </c>
      <c r="K497" s="77"/>
      <c r="L497" s="77"/>
      <c r="M497" s="78" t="s">
        <v>1824</v>
      </c>
      <c r="N497" s="78" t="s">
        <v>1825</v>
      </c>
      <c r="O497" s="90"/>
      <c r="P497" s="80">
        <v>1.86</v>
      </c>
    </row>
    <row r="498" spans="1:16" ht="38.25" x14ac:dyDescent="0.25">
      <c r="A498" s="72" t="s">
        <v>2477</v>
      </c>
      <c r="B498" s="91" t="s">
        <v>2478</v>
      </c>
      <c r="C498" s="74">
        <v>2017</v>
      </c>
      <c r="D498" s="81">
        <v>0.89</v>
      </c>
      <c r="E498" s="72" t="s">
        <v>1958</v>
      </c>
      <c r="F498" s="76" t="s">
        <v>1959</v>
      </c>
      <c r="G498" s="72" t="s">
        <v>2472</v>
      </c>
      <c r="H498" s="72" t="s">
        <v>1905</v>
      </c>
      <c r="I498" s="72" t="s">
        <v>1893</v>
      </c>
      <c r="J498" s="77" t="s">
        <v>1893</v>
      </c>
      <c r="K498" s="77"/>
      <c r="L498" s="77"/>
      <c r="M498" s="78" t="s">
        <v>1824</v>
      </c>
      <c r="N498" s="78" t="s">
        <v>1825</v>
      </c>
      <c r="O498" s="90"/>
      <c r="P498" s="80">
        <v>0.89</v>
      </c>
    </row>
    <row r="499" spans="1:16" ht="38.25" x14ac:dyDescent="0.25">
      <c r="A499" s="72" t="s">
        <v>2479</v>
      </c>
      <c r="B499" s="91" t="s">
        <v>2480</v>
      </c>
      <c r="C499" s="74">
        <v>2017</v>
      </c>
      <c r="D499" s="81">
        <v>0.87</v>
      </c>
      <c r="E499" s="72" t="s">
        <v>1958</v>
      </c>
      <c r="F499" s="76" t="s">
        <v>1959</v>
      </c>
      <c r="G499" s="72" t="s">
        <v>2472</v>
      </c>
      <c r="H499" s="72" t="s">
        <v>1905</v>
      </c>
      <c r="I499" s="72" t="s">
        <v>1893</v>
      </c>
      <c r="J499" s="77" t="s">
        <v>1893</v>
      </c>
      <c r="K499" s="77"/>
      <c r="L499" s="77"/>
      <c r="M499" s="78" t="s">
        <v>1824</v>
      </c>
      <c r="N499" s="78" t="s">
        <v>1825</v>
      </c>
      <c r="O499" s="90"/>
      <c r="P499" s="80">
        <v>0.87</v>
      </c>
    </row>
    <row r="500" spans="1:16" ht="38.25" x14ac:dyDescent="0.25">
      <c r="A500" s="72" t="s">
        <v>2481</v>
      </c>
      <c r="B500" s="91" t="s">
        <v>2482</v>
      </c>
      <c r="C500" s="74">
        <v>2017</v>
      </c>
      <c r="D500" s="81">
        <v>0.89</v>
      </c>
      <c r="E500" s="72" t="s">
        <v>1958</v>
      </c>
      <c r="F500" s="76" t="s">
        <v>1959</v>
      </c>
      <c r="G500" s="72" t="s">
        <v>2472</v>
      </c>
      <c r="H500" s="72" t="s">
        <v>1905</v>
      </c>
      <c r="I500" s="72" t="s">
        <v>1893</v>
      </c>
      <c r="J500" s="77" t="s">
        <v>1893</v>
      </c>
      <c r="K500" s="77"/>
      <c r="L500" s="77"/>
      <c r="M500" s="78" t="s">
        <v>1824</v>
      </c>
      <c r="N500" s="78" t="s">
        <v>1825</v>
      </c>
      <c r="O500" s="90"/>
      <c r="P500" s="80">
        <v>0.89</v>
      </c>
    </row>
    <row r="501" spans="1:16" ht="38.25" x14ac:dyDescent="0.25">
      <c r="A501" s="72" t="s">
        <v>2483</v>
      </c>
      <c r="B501" s="91" t="s">
        <v>2484</v>
      </c>
      <c r="C501" s="74">
        <v>2017</v>
      </c>
      <c r="D501" s="81">
        <v>0.83</v>
      </c>
      <c r="E501" s="72" t="s">
        <v>1958</v>
      </c>
      <c r="F501" s="76" t="s">
        <v>1959</v>
      </c>
      <c r="G501" s="72" t="s">
        <v>2472</v>
      </c>
      <c r="H501" s="72" t="s">
        <v>1905</v>
      </c>
      <c r="I501" s="72" t="s">
        <v>1893</v>
      </c>
      <c r="J501" s="77" t="s">
        <v>1893</v>
      </c>
      <c r="K501" s="77"/>
      <c r="L501" s="77"/>
      <c r="M501" s="78" t="s">
        <v>1824</v>
      </c>
      <c r="N501" s="78" t="s">
        <v>1825</v>
      </c>
      <c r="O501" s="90"/>
      <c r="P501" s="80">
        <v>0.83</v>
      </c>
    </row>
    <row r="502" spans="1:16" ht="38.25" x14ac:dyDescent="0.25">
      <c r="A502" s="72" t="s">
        <v>2485</v>
      </c>
      <c r="B502" s="91" t="s">
        <v>2486</v>
      </c>
      <c r="C502" s="74">
        <v>2017</v>
      </c>
      <c r="D502" s="81">
        <v>0.99</v>
      </c>
      <c r="E502" s="72" t="s">
        <v>1958</v>
      </c>
      <c r="F502" s="76" t="s">
        <v>1959</v>
      </c>
      <c r="G502" s="72" t="s">
        <v>2472</v>
      </c>
      <c r="H502" s="72" t="s">
        <v>1905</v>
      </c>
      <c r="I502" s="72" t="s">
        <v>1893</v>
      </c>
      <c r="J502" s="77" t="s">
        <v>1893</v>
      </c>
      <c r="K502" s="77"/>
      <c r="L502" s="77"/>
      <c r="M502" s="78" t="s">
        <v>1824</v>
      </c>
      <c r="N502" s="78" t="s">
        <v>1825</v>
      </c>
      <c r="O502" s="90"/>
      <c r="P502" s="80">
        <v>0.99</v>
      </c>
    </row>
    <row r="503" spans="1:16" ht="38.25" x14ac:dyDescent="0.25">
      <c r="A503" s="72" t="s">
        <v>2487</v>
      </c>
      <c r="B503" s="91" t="s">
        <v>2488</v>
      </c>
      <c r="C503" s="74">
        <v>2017</v>
      </c>
      <c r="D503" s="81">
        <v>0.79</v>
      </c>
      <c r="E503" s="72" t="s">
        <v>1958</v>
      </c>
      <c r="F503" s="76" t="s">
        <v>1959</v>
      </c>
      <c r="G503" s="72" t="s">
        <v>2472</v>
      </c>
      <c r="H503" s="72" t="s">
        <v>1905</v>
      </c>
      <c r="I503" s="72" t="s">
        <v>1893</v>
      </c>
      <c r="J503" s="77" t="s">
        <v>1893</v>
      </c>
      <c r="K503" s="77"/>
      <c r="L503" s="77"/>
      <c r="M503" s="78" t="s">
        <v>1824</v>
      </c>
      <c r="N503" s="78" t="s">
        <v>1825</v>
      </c>
      <c r="O503" s="90"/>
      <c r="P503" s="80">
        <v>0.79</v>
      </c>
    </row>
    <row r="504" spans="1:16" ht="38.25" x14ac:dyDescent="0.25">
      <c r="A504" s="72" t="s">
        <v>2489</v>
      </c>
      <c r="B504" s="91" t="s">
        <v>2490</v>
      </c>
      <c r="C504" s="74">
        <v>2017</v>
      </c>
      <c r="D504" s="81">
        <v>0.99</v>
      </c>
      <c r="E504" s="72" t="s">
        <v>1958</v>
      </c>
      <c r="F504" s="76" t="s">
        <v>1959</v>
      </c>
      <c r="G504" s="72" t="s">
        <v>2472</v>
      </c>
      <c r="H504" s="72" t="s">
        <v>1905</v>
      </c>
      <c r="I504" s="72" t="s">
        <v>1893</v>
      </c>
      <c r="J504" s="77" t="s">
        <v>1893</v>
      </c>
      <c r="K504" s="77"/>
      <c r="L504" s="77"/>
      <c r="M504" s="78" t="s">
        <v>1824</v>
      </c>
      <c r="N504" s="78" t="s">
        <v>1825</v>
      </c>
      <c r="O504" s="90"/>
      <c r="P504" s="80">
        <v>0.99</v>
      </c>
    </row>
    <row r="505" spans="1:16" x14ac:dyDescent="0.25">
      <c r="A505" s="72" t="s">
        <v>2491</v>
      </c>
      <c r="B505" s="72" t="s">
        <v>2060</v>
      </c>
      <c r="C505" s="74">
        <v>2017</v>
      </c>
      <c r="D505" s="81">
        <v>7.01</v>
      </c>
      <c r="E505" s="72" t="s">
        <v>1854</v>
      </c>
      <c r="F505" s="76" t="s">
        <v>1855</v>
      </c>
      <c r="G505" s="72" t="s">
        <v>2492</v>
      </c>
      <c r="H505" s="72" t="s">
        <v>1905</v>
      </c>
      <c r="I505" s="72" t="s">
        <v>1893</v>
      </c>
      <c r="J505" s="77" t="s">
        <v>1893</v>
      </c>
      <c r="K505" s="77"/>
      <c r="L505" s="77"/>
      <c r="M505" s="78" t="s">
        <v>1824</v>
      </c>
      <c r="N505" s="78" t="s">
        <v>1825</v>
      </c>
      <c r="O505" s="78"/>
      <c r="P505" s="80">
        <v>7.01</v>
      </c>
    </row>
    <row r="506" spans="1:16" x14ac:dyDescent="0.25">
      <c r="A506" s="72" t="s">
        <v>2493</v>
      </c>
      <c r="B506" s="72" t="s">
        <v>2494</v>
      </c>
      <c r="C506" s="74">
        <v>2017</v>
      </c>
      <c r="D506" s="81">
        <v>6.83</v>
      </c>
      <c r="E506" s="72" t="s">
        <v>1854</v>
      </c>
      <c r="F506" s="76" t="s">
        <v>1855</v>
      </c>
      <c r="G506" s="72" t="s">
        <v>2492</v>
      </c>
      <c r="H506" s="72" t="s">
        <v>1905</v>
      </c>
      <c r="I506" s="72" t="s">
        <v>1893</v>
      </c>
      <c r="J506" s="77" t="s">
        <v>1893</v>
      </c>
      <c r="K506" s="77"/>
      <c r="L506" s="77"/>
      <c r="M506" s="78" t="s">
        <v>1824</v>
      </c>
      <c r="N506" s="78" t="s">
        <v>1825</v>
      </c>
      <c r="O506" s="90"/>
      <c r="P506" s="80">
        <v>6.83</v>
      </c>
    </row>
    <row r="507" spans="1:16" x14ac:dyDescent="0.25">
      <c r="A507" s="72" t="s">
        <v>2495</v>
      </c>
      <c r="B507" s="72" t="s">
        <v>1952</v>
      </c>
      <c r="C507" s="74">
        <v>2017</v>
      </c>
      <c r="D507" s="81">
        <v>6.93</v>
      </c>
      <c r="E507" s="72" t="s">
        <v>1854</v>
      </c>
      <c r="F507" s="76" t="s">
        <v>1855</v>
      </c>
      <c r="G507" s="72" t="s">
        <v>2492</v>
      </c>
      <c r="H507" s="72" t="s">
        <v>1905</v>
      </c>
      <c r="I507" s="72" t="s">
        <v>1893</v>
      </c>
      <c r="J507" s="77" t="s">
        <v>1893</v>
      </c>
      <c r="K507" s="77"/>
      <c r="L507" s="77"/>
      <c r="M507" s="78" t="s">
        <v>1824</v>
      </c>
      <c r="N507" s="78" t="s">
        <v>1825</v>
      </c>
      <c r="O507" s="78"/>
      <c r="P507" s="80">
        <v>6.93</v>
      </c>
    </row>
    <row r="508" spans="1:16" x14ac:dyDescent="0.25">
      <c r="A508" s="72" t="s">
        <v>2496</v>
      </c>
      <c r="B508" s="72" t="s">
        <v>2064</v>
      </c>
      <c r="C508" s="74">
        <v>2017</v>
      </c>
      <c r="D508" s="81">
        <v>19.97</v>
      </c>
      <c r="E508" s="72" t="s">
        <v>1854</v>
      </c>
      <c r="F508" s="76" t="s">
        <v>1855</v>
      </c>
      <c r="G508" s="72" t="s">
        <v>2492</v>
      </c>
      <c r="H508" s="72" t="s">
        <v>1905</v>
      </c>
      <c r="I508" s="72" t="s">
        <v>1893</v>
      </c>
      <c r="J508" s="77" t="s">
        <v>1893</v>
      </c>
      <c r="K508" s="77"/>
      <c r="L508" s="77"/>
      <c r="M508" s="78" t="s">
        <v>1824</v>
      </c>
      <c r="N508" s="78" t="s">
        <v>1825</v>
      </c>
      <c r="O508" s="78"/>
      <c r="P508" s="80">
        <v>19.97</v>
      </c>
    </row>
    <row r="509" spans="1:16" x14ac:dyDescent="0.25">
      <c r="A509" s="72" t="s">
        <v>2497</v>
      </c>
      <c r="B509" s="72" t="s">
        <v>2498</v>
      </c>
      <c r="C509" s="74">
        <v>2017</v>
      </c>
      <c r="D509" s="81">
        <v>19.97</v>
      </c>
      <c r="E509" s="72" t="s">
        <v>1854</v>
      </c>
      <c r="F509" s="76" t="s">
        <v>1855</v>
      </c>
      <c r="G509" s="72" t="s">
        <v>2492</v>
      </c>
      <c r="H509" s="72" t="s">
        <v>1905</v>
      </c>
      <c r="I509" s="72" t="s">
        <v>1893</v>
      </c>
      <c r="J509" s="77" t="s">
        <v>1893</v>
      </c>
      <c r="K509" s="77"/>
      <c r="L509" s="77"/>
      <c r="M509" s="78" t="s">
        <v>1824</v>
      </c>
      <c r="N509" s="78" t="s">
        <v>1825</v>
      </c>
      <c r="O509" s="78"/>
      <c r="P509" s="80">
        <v>19.97</v>
      </c>
    </row>
    <row r="510" spans="1:16" x14ac:dyDescent="0.25">
      <c r="A510" s="72" t="s">
        <v>2499</v>
      </c>
      <c r="B510" s="72" t="s">
        <v>2500</v>
      </c>
      <c r="C510" s="74">
        <v>2017</v>
      </c>
      <c r="D510" s="81">
        <v>29.87</v>
      </c>
      <c r="E510" s="72" t="s">
        <v>1958</v>
      </c>
      <c r="F510" s="76" t="s">
        <v>1959</v>
      </c>
      <c r="G510" s="72" t="s">
        <v>2501</v>
      </c>
      <c r="H510" s="72" t="s">
        <v>1905</v>
      </c>
      <c r="I510" s="72" t="s">
        <v>1893</v>
      </c>
      <c r="J510" s="77" t="s">
        <v>1893</v>
      </c>
      <c r="K510" s="77"/>
      <c r="L510" s="77"/>
      <c r="M510" s="78" t="s">
        <v>1824</v>
      </c>
      <c r="N510" s="78" t="s">
        <v>1825</v>
      </c>
      <c r="O510" s="78"/>
      <c r="P510" s="80">
        <v>29.87</v>
      </c>
    </row>
    <row r="511" spans="1:16" x14ac:dyDescent="0.25">
      <c r="A511" s="72" t="s">
        <v>2502</v>
      </c>
      <c r="B511" s="72" t="s">
        <v>2503</v>
      </c>
      <c r="C511" s="74">
        <v>2017</v>
      </c>
      <c r="D511" s="81">
        <v>33.869999999999997</v>
      </c>
      <c r="E511" s="72" t="s">
        <v>1958</v>
      </c>
      <c r="F511" s="76" t="s">
        <v>1959</v>
      </c>
      <c r="G511" s="72" t="s">
        <v>2501</v>
      </c>
      <c r="H511" s="72" t="s">
        <v>1905</v>
      </c>
      <c r="I511" s="72" t="s">
        <v>1893</v>
      </c>
      <c r="J511" s="77" t="s">
        <v>1893</v>
      </c>
      <c r="K511" s="77"/>
      <c r="L511" s="77"/>
      <c r="M511" s="78" t="s">
        <v>1824</v>
      </c>
      <c r="N511" s="78" t="s">
        <v>1825</v>
      </c>
      <c r="O511" s="78"/>
      <c r="P511" s="80">
        <v>33.869999999999997</v>
      </c>
    </row>
    <row r="512" spans="1:16" x14ac:dyDescent="0.25">
      <c r="A512" s="72" t="s">
        <v>2504</v>
      </c>
      <c r="B512" s="72" t="s">
        <v>2505</v>
      </c>
      <c r="C512" s="74">
        <v>2017</v>
      </c>
      <c r="D512" s="81">
        <v>86.97</v>
      </c>
      <c r="E512" s="72" t="s">
        <v>1958</v>
      </c>
      <c r="F512" s="76" t="s">
        <v>1959</v>
      </c>
      <c r="G512" s="72" t="s">
        <v>2501</v>
      </c>
      <c r="H512" s="72" t="s">
        <v>1905</v>
      </c>
      <c r="I512" s="72" t="s">
        <v>1893</v>
      </c>
      <c r="J512" s="77" t="s">
        <v>1893</v>
      </c>
      <c r="K512" s="77"/>
      <c r="L512" s="77"/>
      <c r="M512" s="78" t="s">
        <v>1824</v>
      </c>
      <c r="N512" s="78" t="s">
        <v>1825</v>
      </c>
      <c r="O512" s="78"/>
      <c r="P512" s="80">
        <v>86.97</v>
      </c>
    </row>
    <row r="513" spans="1:16" x14ac:dyDescent="0.25">
      <c r="A513" s="72" t="s">
        <v>2506</v>
      </c>
      <c r="B513" s="72" t="s">
        <v>2070</v>
      </c>
      <c r="C513" s="74">
        <v>2017</v>
      </c>
      <c r="D513" s="81">
        <v>21.17</v>
      </c>
      <c r="E513" s="72" t="s">
        <v>1831</v>
      </c>
      <c r="F513" s="76" t="s">
        <v>1832</v>
      </c>
      <c r="G513" s="72" t="s">
        <v>2501</v>
      </c>
      <c r="H513" s="72" t="s">
        <v>1905</v>
      </c>
      <c r="I513" s="72" t="s">
        <v>1893</v>
      </c>
      <c r="J513" s="77" t="s">
        <v>1893</v>
      </c>
      <c r="K513" s="77"/>
      <c r="L513" s="77"/>
      <c r="M513" s="78" t="s">
        <v>1824</v>
      </c>
      <c r="N513" s="78" t="s">
        <v>1825</v>
      </c>
      <c r="O513" s="78"/>
      <c r="P513" s="80">
        <v>21.17</v>
      </c>
    </row>
    <row r="514" spans="1:16" x14ac:dyDescent="0.25">
      <c r="A514" s="72" t="s">
        <v>2507</v>
      </c>
      <c r="B514" s="72" t="s">
        <v>2072</v>
      </c>
      <c r="C514" s="74">
        <v>2017</v>
      </c>
      <c r="D514" s="81">
        <v>25.93</v>
      </c>
      <c r="E514" s="72" t="s">
        <v>1831</v>
      </c>
      <c r="F514" s="76" t="s">
        <v>1832</v>
      </c>
      <c r="G514" s="72" t="s">
        <v>2501</v>
      </c>
      <c r="H514" s="72" t="s">
        <v>1905</v>
      </c>
      <c r="I514" s="72" t="s">
        <v>1893</v>
      </c>
      <c r="J514" s="77" t="s">
        <v>1893</v>
      </c>
      <c r="K514" s="77"/>
      <c r="L514" s="77"/>
      <c r="M514" s="78" t="s">
        <v>1824</v>
      </c>
      <c r="N514" s="78" t="s">
        <v>1825</v>
      </c>
      <c r="O514" s="78"/>
      <c r="P514" s="80">
        <v>25.93</v>
      </c>
    </row>
    <row r="515" spans="1:16" x14ac:dyDescent="0.25">
      <c r="A515" s="72" t="s">
        <v>2508</v>
      </c>
      <c r="B515" s="72" t="s">
        <v>2074</v>
      </c>
      <c r="C515" s="74">
        <v>2017</v>
      </c>
      <c r="D515" s="81">
        <v>38.82</v>
      </c>
      <c r="E515" s="72" t="s">
        <v>1831</v>
      </c>
      <c r="F515" s="76" t="s">
        <v>1832</v>
      </c>
      <c r="G515" s="72" t="s">
        <v>2501</v>
      </c>
      <c r="H515" s="72" t="s">
        <v>1905</v>
      </c>
      <c r="I515" s="72" t="s">
        <v>1893</v>
      </c>
      <c r="J515" s="77" t="s">
        <v>1893</v>
      </c>
      <c r="K515" s="77"/>
      <c r="L515" s="77"/>
      <c r="M515" s="78" t="s">
        <v>1824</v>
      </c>
      <c r="N515" s="78" t="s">
        <v>1825</v>
      </c>
      <c r="O515" s="78"/>
      <c r="P515" s="80">
        <v>38.82</v>
      </c>
    </row>
    <row r="516" spans="1:16" x14ac:dyDescent="0.25">
      <c r="A516" s="72" t="s">
        <v>2509</v>
      </c>
      <c r="B516" s="72" t="s">
        <v>2510</v>
      </c>
      <c r="C516" s="74">
        <v>2017</v>
      </c>
      <c r="D516" s="81">
        <v>67.849999999999994</v>
      </c>
      <c r="E516" s="72" t="s">
        <v>1958</v>
      </c>
      <c r="F516" s="76" t="s">
        <v>1959</v>
      </c>
      <c r="G516" s="72" t="s">
        <v>2511</v>
      </c>
      <c r="H516" s="72" t="s">
        <v>1905</v>
      </c>
      <c r="I516" s="72" t="s">
        <v>2512</v>
      </c>
      <c r="J516" s="81">
        <v>26.11</v>
      </c>
      <c r="K516" s="72" t="s">
        <v>2513</v>
      </c>
      <c r="L516" s="81">
        <v>1.77</v>
      </c>
      <c r="M516" s="78" t="s">
        <v>1824</v>
      </c>
      <c r="N516" s="78" t="s">
        <v>1825</v>
      </c>
      <c r="O516" s="78"/>
      <c r="P516" s="80">
        <v>67.849999999999994</v>
      </c>
    </row>
    <row r="517" spans="1:16" x14ac:dyDescent="0.25">
      <c r="A517" s="72" t="s">
        <v>2514</v>
      </c>
      <c r="B517" s="72" t="s">
        <v>2515</v>
      </c>
      <c r="C517" s="74">
        <v>2017</v>
      </c>
      <c r="D517" s="81">
        <v>73.23</v>
      </c>
      <c r="E517" s="72" t="s">
        <v>1958</v>
      </c>
      <c r="F517" s="76" t="s">
        <v>1959</v>
      </c>
      <c r="G517" s="72" t="s">
        <v>2511</v>
      </c>
      <c r="H517" s="72" t="s">
        <v>1905</v>
      </c>
      <c r="I517" s="72" t="s">
        <v>2516</v>
      </c>
      <c r="J517" s="81">
        <v>26.11</v>
      </c>
      <c r="K517" s="72" t="s">
        <v>2517</v>
      </c>
      <c r="L517" s="81">
        <v>1.77</v>
      </c>
      <c r="M517" s="78" t="s">
        <v>1824</v>
      </c>
      <c r="N517" s="78" t="s">
        <v>1825</v>
      </c>
      <c r="O517" s="78"/>
      <c r="P517" s="80">
        <v>73.23</v>
      </c>
    </row>
    <row r="518" spans="1:16" x14ac:dyDescent="0.25">
      <c r="A518" s="72" t="s">
        <v>2518</v>
      </c>
      <c r="B518" s="72" t="s">
        <v>2076</v>
      </c>
      <c r="C518" s="74">
        <v>2017</v>
      </c>
      <c r="D518" s="81">
        <v>211.42</v>
      </c>
      <c r="E518" s="72" t="s">
        <v>1958</v>
      </c>
      <c r="F518" s="76" t="s">
        <v>1959</v>
      </c>
      <c r="G518" s="72" t="s">
        <v>2501</v>
      </c>
      <c r="H518" s="72" t="s">
        <v>1905</v>
      </c>
      <c r="I518" s="72" t="s">
        <v>1893</v>
      </c>
      <c r="J518" s="77" t="s">
        <v>1893</v>
      </c>
      <c r="K518" s="77"/>
      <c r="L518" s="77"/>
      <c r="M518" s="78" t="s">
        <v>1824</v>
      </c>
      <c r="N518" s="78" t="s">
        <v>1825</v>
      </c>
      <c r="O518" s="90"/>
      <c r="P518" s="80">
        <v>211.42</v>
      </c>
    </row>
    <row r="519" spans="1:16" x14ac:dyDescent="0.25">
      <c r="A519" s="72" t="s">
        <v>2519</v>
      </c>
      <c r="B519" s="72" t="s">
        <v>2520</v>
      </c>
      <c r="C519" s="74">
        <v>2017</v>
      </c>
      <c r="D519" s="81">
        <v>65.31</v>
      </c>
      <c r="E519" s="72" t="s">
        <v>1831</v>
      </c>
      <c r="F519" s="76" t="s">
        <v>1832</v>
      </c>
      <c r="G519" s="72" t="s">
        <v>2501</v>
      </c>
      <c r="H519" s="72" t="s">
        <v>1905</v>
      </c>
      <c r="I519" s="72" t="s">
        <v>1893</v>
      </c>
      <c r="J519" s="77" t="s">
        <v>1893</v>
      </c>
      <c r="K519" s="77"/>
      <c r="L519" s="77"/>
      <c r="M519" s="78" t="s">
        <v>1824</v>
      </c>
      <c r="N519" s="78" t="s">
        <v>1825</v>
      </c>
      <c r="O519" s="90"/>
      <c r="P519" s="80">
        <v>65.31</v>
      </c>
    </row>
    <row r="520" spans="1:16" x14ac:dyDescent="0.25">
      <c r="A520" s="72" t="s">
        <v>2521</v>
      </c>
      <c r="B520" s="72" t="s">
        <v>2080</v>
      </c>
      <c r="C520" s="74">
        <v>2017</v>
      </c>
      <c r="D520" s="81">
        <v>40.99</v>
      </c>
      <c r="E520" s="72" t="s">
        <v>1958</v>
      </c>
      <c r="F520" s="76" t="s">
        <v>1959</v>
      </c>
      <c r="G520" s="72" t="s">
        <v>2501</v>
      </c>
      <c r="H520" s="72" t="s">
        <v>1905</v>
      </c>
      <c r="I520" s="72" t="s">
        <v>1893</v>
      </c>
      <c r="J520" s="77" t="s">
        <v>1893</v>
      </c>
      <c r="K520" s="77"/>
      <c r="L520" s="77"/>
      <c r="M520" s="78" t="s">
        <v>1824</v>
      </c>
      <c r="N520" s="78" t="s">
        <v>1825</v>
      </c>
      <c r="O520" s="78"/>
      <c r="P520" s="80">
        <v>40.99</v>
      </c>
    </row>
    <row r="521" spans="1:16" x14ac:dyDescent="0.25">
      <c r="A521" s="72" t="s">
        <v>2522</v>
      </c>
      <c r="B521" s="72" t="s">
        <v>2523</v>
      </c>
      <c r="C521" s="74">
        <v>2017</v>
      </c>
      <c r="D521" s="81">
        <v>39.69</v>
      </c>
      <c r="E521" s="72" t="s">
        <v>1958</v>
      </c>
      <c r="F521" s="76" t="s">
        <v>1959</v>
      </c>
      <c r="G521" s="72" t="s">
        <v>2501</v>
      </c>
      <c r="H521" s="72" t="s">
        <v>1905</v>
      </c>
      <c r="I521" s="72" t="s">
        <v>1893</v>
      </c>
      <c r="J521" s="77" t="s">
        <v>1893</v>
      </c>
      <c r="K521" s="77"/>
      <c r="L521" s="77"/>
      <c r="M521" s="78" t="s">
        <v>1824</v>
      </c>
      <c r="N521" s="78" t="s">
        <v>1825</v>
      </c>
      <c r="O521" s="90"/>
      <c r="P521" s="80">
        <v>39.69</v>
      </c>
    </row>
    <row r="522" spans="1:16" x14ac:dyDescent="0.25">
      <c r="A522" s="72" t="s">
        <v>2524</v>
      </c>
      <c r="B522" s="72" t="s">
        <v>2525</v>
      </c>
      <c r="C522" s="74">
        <v>2017</v>
      </c>
      <c r="D522" s="81">
        <v>225.48</v>
      </c>
      <c r="E522" s="72" t="s">
        <v>1958</v>
      </c>
      <c r="F522" s="76" t="s">
        <v>1959</v>
      </c>
      <c r="G522" s="72" t="s">
        <v>2501</v>
      </c>
      <c r="H522" s="72" t="s">
        <v>1905</v>
      </c>
      <c r="I522" s="72" t="s">
        <v>1893</v>
      </c>
      <c r="J522" s="77" t="s">
        <v>1893</v>
      </c>
      <c r="K522" s="77"/>
      <c r="L522" s="77"/>
      <c r="M522" s="78" t="s">
        <v>1824</v>
      </c>
      <c r="N522" s="78" t="s">
        <v>1825</v>
      </c>
      <c r="O522" s="90"/>
      <c r="P522" s="80">
        <v>225.48</v>
      </c>
    </row>
    <row r="523" spans="1:16" x14ac:dyDescent="0.25">
      <c r="A523" s="72" t="s">
        <v>2526</v>
      </c>
      <c r="B523" s="72" t="s">
        <v>2527</v>
      </c>
      <c r="C523" s="74">
        <v>2017</v>
      </c>
      <c r="D523" s="81">
        <v>44.52</v>
      </c>
      <c r="E523" s="72" t="s">
        <v>1958</v>
      </c>
      <c r="F523" s="76" t="s">
        <v>1959</v>
      </c>
      <c r="G523" s="72" t="s">
        <v>2501</v>
      </c>
      <c r="H523" s="72" t="s">
        <v>1905</v>
      </c>
      <c r="I523" s="72" t="s">
        <v>1893</v>
      </c>
      <c r="J523" s="77" t="s">
        <v>1893</v>
      </c>
      <c r="K523" s="77"/>
      <c r="L523" s="77"/>
      <c r="M523" s="78" t="s">
        <v>1824</v>
      </c>
      <c r="N523" s="78" t="s">
        <v>1825</v>
      </c>
      <c r="O523" s="90"/>
      <c r="P523" s="80">
        <v>44.52</v>
      </c>
    </row>
    <row r="524" spans="1:16" x14ac:dyDescent="0.25">
      <c r="A524" s="72" t="s">
        <v>2528</v>
      </c>
      <c r="B524" s="72" t="s">
        <v>2529</v>
      </c>
      <c r="C524" s="74">
        <v>2017</v>
      </c>
      <c r="D524" s="81">
        <v>76.69</v>
      </c>
      <c r="E524" s="72" t="s">
        <v>1958</v>
      </c>
      <c r="F524" s="76" t="s">
        <v>1959</v>
      </c>
      <c r="G524" s="72" t="s">
        <v>2501</v>
      </c>
      <c r="H524" s="72" t="s">
        <v>1905</v>
      </c>
      <c r="I524" s="72" t="s">
        <v>1893</v>
      </c>
      <c r="J524" s="77" t="s">
        <v>1893</v>
      </c>
      <c r="K524" s="77"/>
      <c r="L524" s="77"/>
      <c r="M524" s="78" t="s">
        <v>1824</v>
      </c>
      <c r="N524" s="78" t="s">
        <v>1825</v>
      </c>
      <c r="O524" s="90"/>
      <c r="P524" s="80">
        <v>76.69</v>
      </c>
    </row>
    <row r="525" spans="1:16" x14ac:dyDescent="0.25">
      <c r="A525" s="72" t="s">
        <v>2530</v>
      </c>
      <c r="B525" s="72" t="s">
        <v>2531</v>
      </c>
      <c r="C525" s="74">
        <v>2017</v>
      </c>
      <c r="D525" s="81">
        <v>97.17</v>
      </c>
      <c r="E525" s="72" t="s">
        <v>1958</v>
      </c>
      <c r="F525" s="76" t="s">
        <v>1959</v>
      </c>
      <c r="G525" s="72" t="s">
        <v>2501</v>
      </c>
      <c r="H525" s="72" t="s">
        <v>1905</v>
      </c>
      <c r="I525" s="72" t="s">
        <v>1893</v>
      </c>
      <c r="J525" s="77" t="s">
        <v>1893</v>
      </c>
      <c r="K525" s="77"/>
      <c r="L525" s="77"/>
      <c r="M525" s="78" t="s">
        <v>1824</v>
      </c>
      <c r="N525" s="78" t="s">
        <v>1825</v>
      </c>
      <c r="O525" s="90"/>
      <c r="P525" s="80">
        <v>97.17</v>
      </c>
    </row>
    <row r="526" spans="1:16" x14ac:dyDescent="0.25">
      <c r="A526" s="72" t="s">
        <v>2532</v>
      </c>
      <c r="B526" s="72" t="s">
        <v>2090</v>
      </c>
      <c r="C526" s="74">
        <v>2017</v>
      </c>
      <c r="D526" s="81">
        <v>34.1</v>
      </c>
      <c r="E526" s="72" t="s">
        <v>1958</v>
      </c>
      <c r="F526" s="76" t="s">
        <v>1959</v>
      </c>
      <c r="G526" s="72" t="s">
        <v>2501</v>
      </c>
      <c r="H526" s="72" t="s">
        <v>1905</v>
      </c>
      <c r="I526" s="72" t="s">
        <v>1893</v>
      </c>
      <c r="J526" s="77" t="s">
        <v>1893</v>
      </c>
      <c r="K526" s="77"/>
      <c r="L526" s="77"/>
      <c r="M526" s="78" t="s">
        <v>1824</v>
      </c>
      <c r="N526" s="78" t="s">
        <v>1825</v>
      </c>
      <c r="O526" s="90"/>
      <c r="P526" s="80">
        <v>34.1</v>
      </c>
    </row>
    <row r="527" spans="1:16" x14ac:dyDescent="0.25">
      <c r="A527" s="72" t="s">
        <v>2533</v>
      </c>
      <c r="B527" s="72" t="s">
        <v>2092</v>
      </c>
      <c r="C527" s="74">
        <v>2017</v>
      </c>
      <c r="D527" s="81">
        <v>20.78</v>
      </c>
      <c r="E527" s="72" t="s">
        <v>1958</v>
      </c>
      <c r="F527" s="76" t="s">
        <v>1959</v>
      </c>
      <c r="G527" s="72" t="s">
        <v>2501</v>
      </c>
      <c r="H527" s="72" t="s">
        <v>1905</v>
      </c>
      <c r="I527" s="72" t="s">
        <v>1893</v>
      </c>
      <c r="J527" s="77" t="s">
        <v>1893</v>
      </c>
      <c r="K527" s="77"/>
      <c r="L527" s="77"/>
      <c r="M527" s="78" t="s">
        <v>1824</v>
      </c>
      <c r="N527" s="78" t="s">
        <v>1825</v>
      </c>
      <c r="O527" s="90"/>
      <c r="P527" s="80">
        <v>20.78</v>
      </c>
    </row>
    <row r="528" spans="1:16" x14ac:dyDescent="0.25">
      <c r="A528" s="72" t="s">
        <v>2534</v>
      </c>
      <c r="B528" s="72" t="s">
        <v>2094</v>
      </c>
      <c r="C528" s="74">
        <v>2017</v>
      </c>
      <c r="D528" s="81">
        <v>17.100000000000001</v>
      </c>
      <c r="E528" s="72" t="s">
        <v>1958</v>
      </c>
      <c r="F528" s="76" t="s">
        <v>1959</v>
      </c>
      <c r="G528" s="72" t="s">
        <v>2501</v>
      </c>
      <c r="H528" s="72" t="s">
        <v>1905</v>
      </c>
      <c r="I528" s="72" t="s">
        <v>1893</v>
      </c>
      <c r="J528" s="77" t="s">
        <v>1893</v>
      </c>
      <c r="K528" s="77"/>
      <c r="L528" s="77"/>
      <c r="M528" s="78" t="s">
        <v>1824</v>
      </c>
      <c r="N528" s="78" t="s">
        <v>1825</v>
      </c>
      <c r="O528" s="90"/>
      <c r="P528" s="80">
        <v>17.100000000000001</v>
      </c>
    </row>
    <row r="529" spans="1:16" x14ac:dyDescent="0.25">
      <c r="A529" s="72" t="s">
        <v>2535</v>
      </c>
      <c r="B529" s="72" t="s">
        <v>2536</v>
      </c>
      <c r="C529" s="74">
        <v>2017</v>
      </c>
      <c r="D529" s="81">
        <v>118.9</v>
      </c>
      <c r="E529" s="72" t="s">
        <v>1821</v>
      </c>
      <c r="F529" s="76" t="s">
        <v>1822</v>
      </c>
      <c r="G529" s="72" t="s">
        <v>2501</v>
      </c>
      <c r="H529" s="72" t="s">
        <v>1905</v>
      </c>
      <c r="I529" s="72" t="s">
        <v>1893</v>
      </c>
      <c r="J529" s="77" t="s">
        <v>1893</v>
      </c>
      <c r="K529" s="77"/>
      <c r="L529" s="77"/>
      <c r="M529" s="78" t="s">
        <v>1824</v>
      </c>
      <c r="N529" s="78" t="s">
        <v>1825</v>
      </c>
      <c r="O529" s="90"/>
      <c r="P529" s="80">
        <v>118.9</v>
      </c>
    </row>
    <row r="530" spans="1:16" x14ac:dyDescent="0.25">
      <c r="A530" s="92" t="s">
        <v>2537</v>
      </c>
      <c r="B530" s="92" t="s">
        <v>2538</v>
      </c>
      <c r="C530" s="74">
        <v>2017</v>
      </c>
      <c r="D530" s="81">
        <v>161.54</v>
      </c>
      <c r="E530" s="72" t="s">
        <v>1958</v>
      </c>
      <c r="F530" s="76" t="s">
        <v>1959</v>
      </c>
      <c r="G530" s="72"/>
      <c r="H530" s="72" t="s">
        <v>1905</v>
      </c>
      <c r="I530" s="72"/>
      <c r="J530" s="77"/>
      <c r="K530" s="77"/>
      <c r="L530" s="77"/>
      <c r="M530" s="78" t="s">
        <v>1824</v>
      </c>
      <c r="N530" s="78" t="s">
        <v>1825</v>
      </c>
      <c r="O530" s="93" t="s">
        <v>1826</v>
      </c>
      <c r="P530" s="80"/>
    </row>
    <row r="531" spans="1:16" x14ac:dyDescent="0.25">
      <c r="A531" s="72" t="s">
        <v>89</v>
      </c>
      <c r="B531" s="72" t="s">
        <v>2637</v>
      </c>
      <c r="C531" s="98">
        <v>2016</v>
      </c>
      <c r="D531" s="80">
        <v>28.46</v>
      </c>
      <c r="E531" s="72" t="s">
        <v>1958</v>
      </c>
      <c r="F531" s="76" t="s">
        <v>1959</v>
      </c>
      <c r="G531" s="72" t="s">
        <v>2540</v>
      </c>
      <c r="H531" s="72" t="s">
        <v>1905</v>
      </c>
      <c r="I531" s="72" t="s">
        <v>2638</v>
      </c>
      <c r="J531" s="80">
        <v>40.799999999999997</v>
      </c>
      <c r="K531" s="72" t="s">
        <v>2639</v>
      </c>
      <c r="L531" s="80">
        <v>4.8499999999999996</v>
      </c>
      <c r="M531" s="78" t="s">
        <v>1824</v>
      </c>
      <c r="N531" s="78" t="s">
        <v>1825</v>
      </c>
      <c r="O531" s="99" t="s">
        <v>1953</v>
      </c>
      <c r="P531" s="80">
        <v>28.46</v>
      </c>
    </row>
    <row r="532" spans="1:16" x14ac:dyDescent="0.25">
      <c r="A532" s="72" t="s">
        <v>221</v>
      </c>
      <c r="B532" s="72" t="s">
        <v>2640</v>
      </c>
      <c r="C532" s="98">
        <v>2016</v>
      </c>
      <c r="D532" s="80">
        <v>29.05</v>
      </c>
      <c r="E532" s="72" t="s">
        <v>1958</v>
      </c>
      <c r="F532" s="76" t="s">
        <v>1959</v>
      </c>
      <c r="G532" s="72" t="s">
        <v>2540</v>
      </c>
      <c r="H532" s="72" t="s">
        <v>1905</v>
      </c>
      <c r="I532" s="72" t="s">
        <v>2641</v>
      </c>
      <c r="J532" s="80">
        <v>42.09</v>
      </c>
      <c r="K532" s="72" t="s">
        <v>2642</v>
      </c>
      <c r="L532" s="80">
        <v>7.01</v>
      </c>
      <c r="M532" s="78" t="s">
        <v>1824</v>
      </c>
      <c r="N532" s="78" t="s">
        <v>1825</v>
      </c>
      <c r="O532" s="99" t="s">
        <v>1953</v>
      </c>
      <c r="P532" s="80">
        <v>29.05</v>
      </c>
    </row>
    <row r="533" spans="1:16" x14ac:dyDescent="0.25">
      <c r="A533" s="72" t="s">
        <v>214</v>
      </c>
      <c r="B533" s="72" t="s">
        <v>2539</v>
      </c>
      <c r="C533" s="74">
        <v>2017</v>
      </c>
      <c r="D533" s="81">
        <v>38.03</v>
      </c>
      <c r="E533" s="72" t="s">
        <v>1958</v>
      </c>
      <c r="F533" s="76" t="s">
        <v>1959</v>
      </c>
      <c r="G533" s="72" t="s">
        <v>2540</v>
      </c>
      <c r="H533" s="72" t="s">
        <v>1905</v>
      </c>
      <c r="I533" s="72" t="s">
        <v>2541</v>
      </c>
      <c r="J533" s="81">
        <v>26.11</v>
      </c>
      <c r="K533" s="72" t="s">
        <v>2542</v>
      </c>
      <c r="L533" s="81">
        <v>1.77</v>
      </c>
      <c r="M533" s="78" t="s">
        <v>1824</v>
      </c>
      <c r="N533" s="78" t="s">
        <v>1825</v>
      </c>
      <c r="O533" s="78"/>
      <c r="P533" s="80">
        <v>38.03</v>
      </c>
    </row>
    <row r="534" spans="1:16" x14ac:dyDescent="0.25">
      <c r="A534" s="72" t="s">
        <v>216</v>
      </c>
      <c r="B534" s="72" t="s">
        <v>2643</v>
      </c>
      <c r="C534" s="98">
        <v>2016</v>
      </c>
      <c r="D534" s="80">
        <v>37.56</v>
      </c>
      <c r="E534" s="72" t="s">
        <v>1958</v>
      </c>
      <c r="F534" s="76" t="s">
        <v>1959</v>
      </c>
      <c r="G534" s="72" t="s">
        <v>2540</v>
      </c>
      <c r="H534" s="72" t="s">
        <v>1905</v>
      </c>
      <c r="I534" s="72" t="s">
        <v>2644</v>
      </c>
      <c r="J534" s="80">
        <v>38.11</v>
      </c>
      <c r="K534" s="72" t="s">
        <v>2645</v>
      </c>
      <c r="L534" s="80">
        <v>2.88</v>
      </c>
      <c r="M534" s="78" t="s">
        <v>1824</v>
      </c>
      <c r="N534" s="78" t="s">
        <v>1825</v>
      </c>
      <c r="O534" s="99" t="s">
        <v>1953</v>
      </c>
      <c r="P534" s="80">
        <v>37.56</v>
      </c>
    </row>
    <row r="535" spans="1:16" x14ac:dyDescent="0.25">
      <c r="A535" s="72" t="s">
        <v>1292</v>
      </c>
      <c r="B535" s="72" t="s">
        <v>2543</v>
      </c>
      <c r="C535" s="74">
        <v>2017</v>
      </c>
      <c r="D535" s="81">
        <v>28.81</v>
      </c>
      <c r="E535" s="72" t="s">
        <v>1958</v>
      </c>
      <c r="F535" s="76" t="s">
        <v>1959</v>
      </c>
      <c r="G535" s="72" t="s">
        <v>2540</v>
      </c>
      <c r="H535" s="72" t="s">
        <v>1905</v>
      </c>
      <c r="I535" s="72" t="s">
        <v>2544</v>
      </c>
      <c r="J535" s="81">
        <v>41.82</v>
      </c>
      <c r="K535" s="72" t="s">
        <v>2545</v>
      </c>
      <c r="L535" s="81">
        <v>4.87</v>
      </c>
      <c r="M535" s="78" t="s">
        <v>1824</v>
      </c>
      <c r="N535" s="78" t="s">
        <v>1825</v>
      </c>
      <c r="O535" s="78"/>
      <c r="P535" s="80">
        <v>28.81</v>
      </c>
    </row>
    <row r="536" spans="1:16" x14ac:dyDescent="0.25">
      <c r="A536" s="72" t="s">
        <v>1293</v>
      </c>
      <c r="B536" s="72" t="s">
        <v>2546</v>
      </c>
      <c r="C536" s="74">
        <v>2017</v>
      </c>
      <c r="D536" s="81">
        <v>29.41</v>
      </c>
      <c r="E536" s="72" t="s">
        <v>1958</v>
      </c>
      <c r="F536" s="76" t="s">
        <v>1959</v>
      </c>
      <c r="G536" s="72" t="s">
        <v>2540</v>
      </c>
      <c r="H536" s="72" t="s">
        <v>1905</v>
      </c>
      <c r="I536" s="72" t="s">
        <v>2547</v>
      </c>
      <c r="J536" s="81">
        <v>43.14</v>
      </c>
      <c r="K536" s="72" t="s">
        <v>2548</v>
      </c>
      <c r="L536" s="81">
        <v>7.03</v>
      </c>
      <c r="M536" s="78" t="s">
        <v>1824</v>
      </c>
      <c r="N536" s="78" t="s">
        <v>1825</v>
      </c>
      <c r="O536" s="78"/>
      <c r="P536" s="80">
        <v>29.41</v>
      </c>
    </row>
    <row r="537" spans="1:16" x14ac:dyDescent="0.25">
      <c r="A537" s="92" t="s">
        <v>2549</v>
      </c>
      <c r="B537" s="92" t="s">
        <v>2550</v>
      </c>
      <c r="C537" s="74">
        <v>2017</v>
      </c>
      <c r="D537" s="81">
        <v>222.74</v>
      </c>
      <c r="E537" s="72" t="s">
        <v>1958</v>
      </c>
      <c r="F537" s="76" t="s">
        <v>1959</v>
      </c>
      <c r="G537" s="72"/>
      <c r="H537" s="72" t="s">
        <v>1905</v>
      </c>
      <c r="I537" s="72" t="s">
        <v>2551</v>
      </c>
      <c r="J537" s="81">
        <v>41.82</v>
      </c>
      <c r="K537" s="72" t="s">
        <v>2552</v>
      </c>
      <c r="L537" s="81">
        <v>4.87</v>
      </c>
      <c r="M537" s="78" t="s">
        <v>1824</v>
      </c>
      <c r="N537" s="78" t="s">
        <v>1825</v>
      </c>
      <c r="O537" s="93" t="s">
        <v>1826</v>
      </c>
      <c r="P537" s="80">
        <v>222.74</v>
      </c>
    </row>
    <row r="538" spans="1:16" x14ac:dyDescent="0.25">
      <c r="A538" s="72" t="s">
        <v>2621</v>
      </c>
      <c r="B538" s="72" t="s">
        <v>2622</v>
      </c>
      <c r="C538" s="74">
        <v>2017</v>
      </c>
      <c r="D538" s="97">
        <v>1</v>
      </c>
      <c r="E538" s="72" t="s">
        <v>1958</v>
      </c>
      <c r="F538" s="76" t="s">
        <v>1959</v>
      </c>
      <c r="G538" s="72" t="s">
        <v>2150</v>
      </c>
      <c r="H538" s="72" t="s">
        <v>1905</v>
      </c>
      <c r="I538" s="72"/>
      <c r="J538" s="77"/>
      <c r="K538" s="77"/>
      <c r="L538" s="77"/>
      <c r="M538" s="78" t="s">
        <v>2623</v>
      </c>
      <c r="N538" s="78" t="s">
        <v>2624</v>
      </c>
      <c r="O538" s="78"/>
      <c r="P538" s="80">
        <v>1</v>
      </c>
    </row>
    <row r="539" spans="1:16" x14ac:dyDescent="0.25">
      <c r="A539" s="72" t="s">
        <v>2625</v>
      </c>
      <c r="B539" s="72" t="s">
        <v>2626</v>
      </c>
      <c r="C539" s="74">
        <v>2017</v>
      </c>
      <c r="D539" s="97">
        <v>1</v>
      </c>
      <c r="E539" s="72" t="s">
        <v>1958</v>
      </c>
      <c r="F539" s="76" t="s">
        <v>1959</v>
      </c>
      <c r="G539" s="72" t="s">
        <v>2150</v>
      </c>
      <c r="H539" s="72" t="s">
        <v>1905</v>
      </c>
      <c r="I539" s="72"/>
      <c r="J539" s="77"/>
      <c r="K539" s="77"/>
      <c r="L539" s="77"/>
      <c r="M539" s="78" t="s">
        <v>2623</v>
      </c>
      <c r="N539" s="78" t="s">
        <v>2624</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6"/>
  <dimension ref="A1:D22"/>
  <sheetViews>
    <sheetView workbookViewId="0">
      <selection activeCell="C22" sqref="C22"/>
    </sheetView>
  </sheetViews>
  <sheetFormatPr defaultColWidth="9.28515625" defaultRowHeight="15" x14ac:dyDescent="0.25"/>
  <cols>
    <col min="1" max="1" width="24" style="62" bestFit="1" customWidth="1"/>
    <col min="2" max="2" width="10.5703125" style="62" bestFit="1" customWidth="1"/>
    <col min="3" max="3" width="19.42578125" style="62" bestFit="1" customWidth="1"/>
    <col min="4" max="16384" width="9.28515625" style="62"/>
  </cols>
  <sheetData>
    <row r="1" spans="1:4" x14ac:dyDescent="0.25">
      <c r="A1" s="107" t="s">
        <v>2716</v>
      </c>
      <c r="B1" s="108" t="s">
        <v>2717</v>
      </c>
      <c r="C1" s="108" t="s">
        <v>2718</v>
      </c>
      <c r="D1" s="100"/>
    </row>
    <row r="2" spans="1:4" x14ac:dyDescent="0.25">
      <c r="A2" s="109" t="s">
        <v>2719</v>
      </c>
      <c r="B2" s="110">
        <v>22.49</v>
      </c>
      <c r="C2" s="110">
        <v>28.112499999999997</v>
      </c>
      <c r="D2" s="100"/>
    </row>
    <row r="3" spans="1:4" x14ac:dyDescent="0.25">
      <c r="A3" s="109" t="s">
        <v>2720</v>
      </c>
      <c r="B3" s="110">
        <v>27.020000000000003</v>
      </c>
      <c r="C3" s="110">
        <v>33.775000000000006</v>
      </c>
      <c r="D3" s="100"/>
    </row>
    <row r="4" spans="1:4" x14ac:dyDescent="0.25">
      <c r="A4" s="109" t="s">
        <v>2721</v>
      </c>
      <c r="B4" s="111">
        <v>17.949999999999996</v>
      </c>
      <c r="C4" s="110">
        <v>22.437499999999993</v>
      </c>
      <c r="D4" s="100"/>
    </row>
    <row r="5" spans="1:4" x14ac:dyDescent="0.25">
      <c r="A5" s="109" t="s">
        <v>2722</v>
      </c>
      <c r="B5" s="110">
        <v>24.709999999999997</v>
      </c>
      <c r="C5" s="110">
        <v>30.887499999999996</v>
      </c>
      <c r="D5" s="100"/>
    </row>
    <row r="6" spans="1:4" x14ac:dyDescent="0.25">
      <c r="A6" s="109" t="s">
        <v>2723</v>
      </c>
      <c r="B6" s="111">
        <v>22.820000000000004</v>
      </c>
      <c r="C6" s="110">
        <v>28.525000000000006</v>
      </c>
      <c r="D6" s="100"/>
    </row>
    <row r="7" spans="1:4" x14ac:dyDescent="0.25">
      <c r="A7" s="109" t="s">
        <v>2724</v>
      </c>
      <c r="B7" s="110">
        <v>33.730000000000004</v>
      </c>
      <c r="C7" s="110">
        <v>42.162500000000009</v>
      </c>
      <c r="D7" s="100"/>
    </row>
    <row r="8" spans="1:4" x14ac:dyDescent="0.25">
      <c r="A8" s="109" t="s">
        <v>2725</v>
      </c>
      <c r="B8" s="111">
        <v>22.259999999999998</v>
      </c>
      <c r="C8" s="110">
        <v>27.824999999999996</v>
      </c>
      <c r="D8" s="100"/>
    </row>
    <row r="9" spans="1:4" x14ac:dyDescent="0.25">
      <c r="A9" s="109" t="s">
        <v>2726</v>
      </c>
      <c r="B9" s="110">
        <v>29.02</v>
      </c>
      <c r="C9" s="110">
        <v>36.274999999999999</v>
      </c>
      <c r="D9" s="100"/>
    </row>
    <row r="10" spans="1:4" x14ac:dyDescent="0.25">
      <c r="A10" s="109" t="s">
        <v>2727</v>
      </c>
      <c r="B10" s="111">
        <v>20.69</v>
      </c>
      <c r="C10" s="110">
        <v>25.862500000000001</v>
      </c>
      <c r="D10" s="100"/>
    </row>
    <row r="11" spans="1:4" x14ac:dyDescent="0.25">
      <c r="A11" s="109" t="s">
        <v>2728</v>
      </c>
      <c r="B11" s="110">
        <v>26.51</v>
      </c>
      <c r="C11" s="110">
        <v>33.137500000000003</v>
      </c>
      <c r="D11" s="100"/>
    </row>
    <row r="12" spans="1:4" x14ac:dyDescent="0.25">
      <c r="A12" s="109" t="s">
        <v>2729</v>
      </c>
      <c r="B12" s="111">
        <v>23.28</v>
      </c>
      <c r="C12" s="110">
        <v>29.1</v>
      </c>
      <c r="D12" s="100"/>
    </row>
    <row r="13" spans="1:4" x14ac:dyDescent="0.25">
      <c r="A13" s="109" t="s">
        <v>2730</v>
      </c>
      <c r="B13" s="110">
        <v>28.580000000000002</v>
      </c>
      <c r="C13" s="110">
        <v>35.725000000000001</v>
      </c>
      <c r="D13" s="100"/>
    </row>
    <row r="14" spans="1:4" x14ac:dyDescent="0.25">
      <c r="A14" s="109" t="s">
        <v>2731</v>
      </c>
      <c r="B14" s="111">
        <v>25.79</v>
      </c>
      <c r="C14" s="110">
        <v>32.237499999999997</v>
      </c>
      <c r="D14" s="100"/>
    </row>
    <row r="15" spans="1:4" x14ac:dyDescent="0.25">
      <c r="A15" s="109" t="s">
        <v>2732</v>
      </c>
      <c r="B15" s="110">
        <v>30.23</v>
      </c>
      <c r="C15" s="110">
        <v>37.787500000000001</v>
      </c>
      <c r="D15" s="100"/>
    </row>
    <row r="16" spans="1:4" x14ac:dyDescent="0.25">
      <c r="A16" s="109" t="s">
        <v>2733</v>
      </c>
      <c r="B16" s="111">
        <v>34.290000000000006</v>
      </c>
      <c r="C16" s="110">
        <v>42.862500000000011</v>
      </c>
      <c r="D16" s="100"/>
    </row>
    <row r="17" spans="1:4" x14ac:dyDescent="0.25">
      <c r="A17" s="109" t="s">
        <v>2734</v>
      </c>
      <c r="B17" s="110">
        <v>44.88</v>
      </c>
      <c r="C17" s="110">
        <v>56.1</v>
      </c>
      <c r="D17" s="100"/>
    </row>
    <row r="18" spans="1:4" x14ac:dyDescent="0.25">
      <c r="A18" s="109" t="s">
        <v>2735</v>
      </c>
      <c r="B18" s="111">
        <v>24.87</v>
      </c>
      <c r="C18" s="110">
        <v>31.087500000000002</v>
      </c>
      <c r="D18" s="100"/>
    </row>
    <row r="19" spans="1:4" x14ac:dyDescent="0.25">
      <c r="A19" s="109" t="s">
        <v>2736</v>
      </c>
      <c r="B19" s="110">
        <v>31.62</v>
      </c>
      <c r="C19" s="110">
        <v>39.524999999999999</v>
      </c>
      <c r="D19" s="100"/>
    </row>
    <row r="20" spans="1:4" x14ac:dyDescent="0.25">
      <c r="A20" s="109" t="s">
        <v>2737</v>
      </c>
      <c r="B20" s="110">
        <v>29.93</v>
      </c>
      <c r="C20" s="110">
        <v>37.412500000000001</v>
      </c>
      <c r="D20" s="112" t="s">
        <v>2738</v>
      </c>
    </row>
    <row r="21" spans="1:4" x14ac:dyDescent="0.25">
      <c r="A21" s="109" t="s">
        <v>2739</v>
      </c>
      <c r="B21" s="110">
        <v>29.930000000000003</v>
      </c>
      <c r="C21" s="110">
        <v>37.412500000000001</v>
      </c>
      <c r="D21" s="112" t="s">
        <v>2738</v>
      </c>
    </row>
    <row r="22" spans="1:4" x14ac:dyDescent="0.25">
      <c r="A22" s="109" t="s">
        <v>2740</v>
      </c>
      <c r="B22" s="110">
        <v>39.43</v>
      </c>
      <c r="C22" s="110">
        <v>49.287500000000001</v>
      </c>
      <c r="D22" s="112" t="s">
        <v>2738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7"/>
  <dimension ref="A1:D14"/>
  <sheetViews>
    <sheetView workbookViewId="0">
      <selection activeCell="B16" sqref="B16"/>
    </sheetView>
  </sheetViews>
  <sheetFormatPr defaultRowHeight="15" x14ac:dyDescent="0.25"/>
  <cols>
    <col min="1" max="1" width="24" bestFit="1" customWidth="1"/>
    <col min="2" max="2" width="21.7109375" style="113" bestFit="1" customWidth="1"/>
    <col min="3" max="3" width="28.28515625" style="113" bestFit="1" customWidth="1"/>
  </cols>
  <sheetData>
    <row r="1" spans="1:4" s="113" customFormat="1" ht="15.75" thickBot="1" x14ac:dyDescent="0.3">
      <c r="A1" s="115" t="s">
        <v>2750</v>
      </c>
      <c r="B1" s="115" t="s">
        <v>2751</v>
      </c>
      <c r="C1" s="115" t="s">
        <v>2752</v>
      </c>
    </row>
    <row r="2" spans="1:4" x14ac:dyDescent="0.25">
      <c r="A2" s="116" t="s">
        <v>2719</v>
      </c>
      <c r="B2" s="116">
        <v>23</v>
      </c>
      <c r="C2" s="116">
        <v>28.75</v>
      </c>
    </row>
    <row r="3" spans="1:4" x14ac:dyDescent="0.25">
      <c r="A3" s="117" t="s">
        <v>2720</v>
      </c>
      <c r="B3" s="117">
        <v>28.5</v>
      </c>
      <c r="C3" s="117">
        <v>35.630000000000003</v>
      </c>
    </row>
    <row r="4" spans="1:4" x14ac:dyDescent="0.25">
      <c r="A4" s="117" t="s">
        <v>2722</v>
      </c>
      <c r="B4" s="117">
        <v>25.5</v>
      </c>
      <c r="C4" s="117">
        <v>31.88</v>
      </c>
      <c r="D4" s="113"/>
    </row>
    <row r="5" spans="1:4" x14ac:dyDescent="0.25">
      <c r="A5" s="117" t="s">
        <v>2724</v>
      </c>
      <c r="B5" s="117">
        <v>36</v>
      </c>
      <c r="C5" s="117">
        <v>45</v>
      </c>
      <c r="D5" s="113"/>
    </row>
    <row r="6" spans="1:4" x14ac:dyDescent="0.25">
      <c r="A6" s="117" t="s">
        <v>2726</v>
      </c>
      <c r="B6" s="117">
        <v>30</v>
      </c>
      <c r="C6" s="117">
        <v>37.5</v>
      </c>
      <c r="D6" s="113"/>
    </row>
    <row r="7" spans="1:4" x14ac:dyDescent="0.25">
      <c r="A7" s="117" t="s">
        <v>2728</v>
      </c>
      <c r="B7" s="117">
        <v>28.5</v>
      </c>
      <c r="C7" s="117">
        <v>35.630000000000003</v>
      </c>
      <c r="D7" s="113"/>
    </row>
    <row r="8" spans="1:4" x14ac:dyDescent="0.25">
      <c r="A8" s="117" t="s">
        <v>2730</v>
      </c>
      <c r="B8" s="117">
        <v>28.5</v>
      </c>
      <c r="C8" s="117">
        <v>35.630000000000003</v>
      </c>
      <c r="D8" s="113"/>
    </row>
    <row r="9" spans="1:4" x14ac:dyDescent="0.25">
      <c r="A9" s="117" t="s">
        <v>2732</v>
      </c>
      <c r="B9" s="117">
        <v>30.5</v>
      </c>
      <c r="C9" s="117">
        <v>38.130000000000003</v>
      </c>
      <c r="D9" s="113"/>
    </row>
    <row r="10" spans="1:4" x14ac:dyDescent="0.25">
      <c r="A10" s="117" t="s">
        <v>2734</v>
      </c>
      <c r="B10" s="117">
        <v>47</v>
      </c>
      <c r="C10" s="117">
        <v>58.75</v>
      </c>
      <c r="D10" s="113"/>
    </row>
    <row r="11" spans="1:4" x14ac:dyDescent="0.25">
      <c r="A11" s="117" t="s">
        <v>2736</v>
      </c>
      <c r="B11" s="117">
        <v>33</v>
      </c>
      <c r="C11" s="117">
        <v>41.25</v>
      </c>
      <c r="D11" s="113"/>
    </row>
    <row r="12" spans="1:4" x14ac:dyDescent="0.25">
      <c r="A12" s="117" t="s">
        <v>2737</v>
      </c>
      <c r="B12" s="117">
        <v>25.5</v>
      </c>
      <c r="C12" s="117">
        <v>31.88</v>
      </c>
      <c r="D12" s="114" t="s">
        <v>2738</v>
      </c>
    </row>
    <row r="13" spans="1:4" x14ac:dyDescent="0.25">
      <c r="A13" s="119" t="s">
        <v>2739</v>
      </c>
      <c r="B13" s="119">
        <v>25.5</v>
      </c>
      <c r="C13" s="119">
        <v>31.88</v>
      </c>
      <c r="D13" s="114" t="s">
        <v>2738</v>
      </c>
    </row>
    <row r="14" spans="1:4" ht="15.75" thickBot="1" x14ac:dyDescent="0.3">
      <c r="A14" s="118" t="s">
        <v>2740</v>
      </c>
      <c r="B14" s="118">
        <v>27.5</v>
      </c>
      <c r="C14" s="118">
        <v>34.380000000000003</v>
      </c>
      <c r="D14" s="114" t="s">
        <v>2738</v>
      </c>
    </row>
  </sheetData>
  <sheetProtection algorithmName="SHA-512" hashValue="gzc+pEr6lrRpe3Ra7vw06d+jQQ9o3B33ASPR77Nt7VkrJsELtg8OiC2iLV4r9GYNGfhvtlVqXlXOkyfwZUpfAQ==" saltValue="wjuYhLXQB6K6+9SPDFwJUQ=="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8"/>
  <dimension ref="A1:I213"/>
  <sheetViews>
    <sheetView topLeftCell="A63" workbookViewId="0">
      <selection activeCell="E84" sqref="E84"/>
    </sheetView>
  </sheetViews>
  <sheetFormatPr defaultColWidth="9.28515625" defaultRowHeight="15" x14ac:dyDescent="0.25"/>
  <cols>
    <col min="1" max="1" width="9.28515625" style="124"/>
    <col min="2" max="2" width="6.7109375" style="120" bestFit="1" customWidth="1"/>
    <col min="3" max="3" width="47.7109375" style="120" bestFit="1" customWidth="1"/>
    <col min="4" max="4" width="61.28515625" style="39" customWidth="1"/>
    <col min="5" max="5" width="9.42578125" style="120" customWidth="1"/>
    <col min="6" max="6" width="6.7109375" style="120" bestFit="1" customWidth="1"/>
    <col min="7" max="7" width="5.7109375" style="120" bestFit="1" customWidth="1"/>
    <col min="8" max="8" width="37.85546875" style="120" bestFit="1" customWidth="1"/>
    <col min="9" max="9" width="17.7109375" style="128" customWidth="1"/>
    <col min="10" max="16384" width="9.28515625" style="120"/>
  </cols>
  <sheetData>
    <row r="1" spans="1:9" x14ac:dyDescent="0.25">
      <c r="A1" s="121" t="s">
        <v>3618</v>
      </c>
      <c r="B1" s="282"/>
      <c r="E1" s="122"/>
      <c r="F1" s="122"/>
      <c r="G1" s="122"/>
      <c r="H1" s="122"/>
    </row>
    <row r="2" spans="1:9" x14ac:dyDescent="0.25">
      <c r="A2" s="121"/>
      <c r="B2" s="282"/>
      <c r="E2" s="123" t="s">
        <v>3585</v>
      </c>
      <c r="F2" s="123" t="s">
        <v>3586</v>
      </c>
      <c r="G2" s="123" t="s">
        <v>3587</v>
      </c>
      <c r="H2" s="122" t="s">
        <v>3588</v>
      </c>
      <c r="I2" s="129" t="s">
        <v>3021</v>
      </c>
    </row>
    <row r="3" spans="1:9" s="124" customFormat="1" ht="15" customHeight="1" x14ac:dyDescent="0.25">
      <c r="B3" s="282"/>
      <c r="C3" s="120"/>
      <c r="D3" s="39"/>
      <c r="E3" s="122"/>
      <c r="F3" s="122"/>
      <c r="G3" s="122"/>
      <c r="H3" s="125" t="s">
        <v>3022</v>
      </c>
      <c r="I3" s="128"/>
    </row>
    <row r="4" spans="1:9" s="124" customFormat="1" ht="15" customHeight="1" x14ac:dyDescent="0.15">
      <c r="B4" s="126" t="s">
        <v>3023</v>
      </c>
      <c r="C4" s="121" t="s">
        <v>0</v>
      </c>
      <c r="D4" s="127"/>
      <c r="E4" s="125" t="s">
        <v>3024</v>
      </c>
      <c r="F4" s="125" t="s">
        <v>3025</v>
      </c>
      <c r="G4" s="125" t="s">
        <v>3026</v>
      </c>
      <c r="H4" s="125" t="s">
        <v>3027</v>
      </c>
      <c r="I4" s="130" t="s">
        <v>3028</v>
      </c>
    </row>
    <row r="5" spans="1:9" x14ac:dyDescent="0.25">
      <c r="A5" s="121" t="s">
        <v>3029</v>
      </c>
      <c r="B5" s="282"/>
      <c r="E5" s="122"/>
      <c r="F5" s="122"/>
      <c r="G5" s="122"/>
      <c r="H5" s="122"/>
    </row>
    <row r="6" spans="1:9" x14ac:dyDescent="0.25">
      <c r="A6" s="124" t="str">
        <f>SUBSTITUTE(C6,"ZZP","VPT")</f>
        <v>VPT 1vv excl.bh incl.db</v>
      </c>
      <c r="B6" s="282" t="s">
        <v>245</v>
      </c>
      <c r="C6" s="120" t="s">
        <v>3563</v>
      </c>
      <c r="D6" s="434" t="str">
        <f>CONCATENATE(B6," ",A6)</f>
        <v>V015 VPT 1vv excl.bh incl.db</v>
      </c>
      <c r="E6" s="122">
        <v>67.186497876749442</v>
      </c>
      <c r="F6" s="122">
        <v>3.06</v>
      </c>
      <c r="G6" s="122">
        <v>0.62</v>
      </c>
      <c r="H6" s="122">
        <v>0</v>
      </c>
      <c r="I6" s="128">
        <v>70.866497876749449</v>
      </c>
    </row>
    <row r="7" spans="1:9" x14ac:dyDescent="0.25">
      <c r="A7" s="124" t="str">
        <f t="shared" ref="A7:A70" si="0">SUBSTITUTE(C7,"ZZP","VPT")</f>
        <v>VPT 2vv excl.bh incl.db</v>
      </c>
      <c r="B7" s="282" t="s">
        <v>136</v>
      </c>
      <c r="C7" s="120" t="s">
        <v>3564</v>
      </c>
      <c r="D7" s="434" t="str">
        <f t="shared" ref="D7:D70" si="1">CONCATENATE(B7," ",A7)</f>
        <v>V025 VPT 2vv excl.bh incl.db</v>
      </c>
      <c r="E7" s="122">
        <v>90.167296149839132</v>
      </c>
      <c r="F7" s="122">
        <v>3.06</v>
      </c>
      <c r="G7" s="122">
        <v>0.62</v>
      </c>
      <c r="H7" s="122">
        <v>0</v>
      </c>
      <c r="I7" s="128">
        <v>93.847296149839138</v>
      </c>
    </row>
    <row r="8" spans="1:9" x14ac:dyDescent="0.25">
      <c r="A8" s="124" t="str">
        <f t="shared" si="0"/>
        <v>VPT 3vv excl.bh incl.db</v>
      </c>
      <c r="B8" s="282" t="s">
        <v>210</v>
      </c>
      <c r="C8" s="120" t="s">
        <v>3150</v>
      </c>
      <c r="D8" s="434" t="str">
        <f t="shared" si="1"/>
        <v>V031 VPT 3vv excl.bh incl.db</v>
      </c>
      <c r="E8" s="122">
        <v>120.54669379408337</v>
      </c>
      <c r="F8" s="122">
        <v>3.12</v>
      </c>
      <c r="G8" s="122">
        <v>0.62</v>
      </c>
      <c r="H8" s="122">
        <v>0</v>
      </c>
      <c r="I8" s="128">
        <v>124.28669379408338</v>
      </c>
    </row>
    <row r="9" spans="1:9" x14ac:dyDescent="0.25">
      <c r="A9" s="124" t="str">
        <f t="shared" si="0"/>
        <v>VPT 4vv excl.bh incl.db</v>
      </c>
      <c r="B9" s="282" t="s">
        <v>54</v>
      </c>
      <c r="C9" s="120" t="s">
        <v>3151</v>
      </c>
      <c r="D9" s="434" t="str">
        <f t="shared" si="1"/>
        <v>V041 VPT 4vv excl.bh incl.db</v>
      </c>
      <c r="E9" s="122">
        <v>130.09</v>
      </c>
      <c r="F9" s="122">
        <v>3.12</v>
      </c>
      <c r="G9" s="122">
        <v>0.62</v>
      </c>
      <c r="H9" s="122">
        <v>0</v>
      </c>
      <c r="I9" s="128">
        <v>133.83000000000001</v>
      </c>
    </row>
    <row r="10" spans="1:9" x14ac:dyDescent="0.25">
      <c r="A10" s="124" t="str">
        <f t="shared" si="0"/>
        <v>VPT 5vv excl.bh incl.db</v>
      </c>
      <c r="B10" s="282" t="s">
        <v>107</v>
      </c>
      <c r="C10" s="120" t="s">
        <v>3152</v>
      </c>
      <c r="D10" s="434" t="str">
        <f t="shared" si="1"/>
        <v>V051 VPT 5vv excl.bh incl.db</v>
      </c>
      <c r="E10" s="122">
        <v>179.51</v>
      </c>
      <c r="F10" s="122">
        <v>4.13</v>
      </c>
      <c r="G10" s="122">
        <v>0.44</v>
      </c>
      <c r="H10" s="122">
        <v>0</v>
      </c>
      <c r="I10" s="128">
        <v>184.07999999999998</v>
      </c>
    </row>
    <row r="11" spans="1:9" x14ac:dyDescent="0.25">
      <c r="A11" s="124" t="str">
        <f t="shared" si="0"/>
        <v>VPT 6vv excl.bh incl.db</v>
      </c>
      <c r="B11" s="282" t="s">
        <v>263</v>
      </c>
      <c r="C11" s="120" t="s">
        <v>3153</v>
      </c>
      <c r="D11" s="434" t="str">
        <f t="shared" si="1"/>
        <v>V061 VPT 6vv excl.bh incl.db</v>
      </c>
      <c r="E11" s="122">
        <v>179.49</v>
      </c>
      <c r="F11" s="122">
        <v>4.51</v>
      </c>
      <c r="G11" s="122">
        <v>0.44</v>
      </c>
      <c r="H11" s="122">
        <v>0</v>
      </c>
      <c r="I11" s="128">
        <v>184.44</v>
      </c>
    </row>
    <row r="12" spans="1:9" x14ac:dyDescent="0.25">
      <c r="A12" s="124" t="str">
        <f t="shared" si="0"/>
        <v>VPT 7vv excl.bh incl.db</v>
      </c>
      <c r="B12" s="282" t="s">
        <v>386</v>
      </c>
      <c r="C12" s="120" t="s">
        <v>3154</v>
      </c>
      <c r="D12" s="434" t="str">
        <f t="shared" si="1"/>
        <v>V071 VPT 7vv excl.bh incl.db</v>
      </c>
      <c r="E12" s="122">
        <v>210.72</v>
      </c>
      <c r="F12" s="122">
        <v>4.51</v>
      </c>
      <c r="G12" s="122">
        <v>0.44</v>
      </c>
      <c r="H12" s="122">
        <v>0</v>
      </c>
      <c r="I12" s="128">
        <v>215.67</v>
      </c>
    </row>
    <row r="13" spans="1:9" x14ac:dyDescent="0.25">
      <c r="A13" s="124" t="str">
        <f t="shared" si="0"/>
        <v>VPT 8vv excl.bh incl.db</v>
      </c>
      <c r="B13" s="282" t="s">
        <v>306</v>
      </c>
      <c r="C13" s="120" t="s">
        <v>3155</v>
      </c>
      <c r="D13" s="434" t="str">
        <f t="shared" si="1"/>
        <v>V081 VPT 8vv excl.bh incl.db</v>
      </c>
      <c r="E13" s="122">
        <v>244.81</v>
      </c>
      <c r="F13" s="122">
        <v>4.51</v>
      </c>
      <c r="G13" s="122">
        <v>0.27</v>
      </c>
      <c r="H13" s="122">
        <v>0</v>
      </c>
      <c r="I13" s="128">
        <v>249.59</v>
      </c>
    </row>
    <row r="14" spans="1:9" x14ac:dyDescent="0.25">
      <c r="A14" s="124" t="str">
        <f t="shared" si="0"/>
        <v>VPT 9bvv excl.bh incl.db</v>
      </c>
      <c r="B14" s="282" t="s">
        <v>574</v>
      </c>
      <c r="C14" s="120" t="s">
        <v>3156</v>
      </c>
      <c r="D14" s="434" t="str">
        <f t="shared" si="1"/>
        <v>V095 VPT 9bvv excl.bh incl.db</v>
      </c>
      <c r="E14" s="122">
        <v>174.79</v>
      </c>
      <c r="F14" s="122">
        <v>3.7</v>
      </c>
      <c r="G14" s="122">
        <v>0.26</v>
      </c>
      <c r="H14" s="122">
        <v>0</v>
      </c>
      <c r="I14" s="128">
        <v>178.74999999999997</v>
      </c>
    </row>
    <row r="15" spans="1:9" x14ac:dyDescent="0.25">
      <c r="A15" s="124" t="str">
        <f t="shared" si="0"/>
        <v>VPT 10vv excl.bh incl.db</v>
      </c>
      <c r="B15" s="282" t="s">
        <v>93</v>
      </c>
      <c r="C15" s="120" t="s">
        <v>3157</v>
      </c>
      <c r="D15" s="434" t="str">
        <f t="shared" si="1"/>
        <v>V101 VPT 10vv excl.bh incl.db</v>
      </c>
      <c r="E15" s="122">
        <v>267.39999999999998</v>
      </c>
      <c r="F15" s="122">
        <v>4.51</v>
      </c>
      <c r="G15" s="122">
        <v>0.44</v>
      </c>
      <c r="H15" s="122">
        <v>0</v>
      </c>
      <c r="I15" s="128">
        <v>272.34999999999997</v>
      </c>
    </row>
    <row r="16" spans="1:9" x14ac:dyDescent="0.25">
      <c r="A16" s="124" t="str">
        <f t="shared" si="0"/>
        <v>VPT 3vv incl.bh incl.db</v>
      </c>
      <c r="B16" s="282" t="s">
        <v>291</v>
      </c>
      <c r="C16" s="120" t="s">
        <v>3158</v>
      </c>
      <c r="D16" s="434" t="str">
        <f t="shared" si="1"/>
        <v>V033 VPT 3vv incl.bh incl.db</v>
      </c>
      <c r="E16" s="122">
        <v>142.36395433561756</v>
      </c>
      <c r="F16" s="122">
        <v>3.12</v>
      </c>
      <c r="G16" s="122">
        <v>0.83</v>
      </c>
      <c r="H16" s="122">
        <v>0</v>
      </c>
      <c r="I16" s="128">
        <v>146.31395433561758</v>
      </c>
    </row>
    <row r="17" spans="1:9" x14ac:dyDescent="0.25">
      <c r="A17" s="124" t="str">
        <f t="shared" si="0"/>
        <v>VPT 4vv incl.bh incl.db</v>
      </c>
      <c r="B17" s="282" t="s">
        <v>167</v>
      </c>
      <c r="C17" s="120" t="s">
        <v>3159</v>
      </c>
      <c r="D17" s="434" t="str">
        <f t="shared" si="1"/>
        <v>V043 VPT 4vv incl.bh incl.db</v>
      </c>
      <c r="E17" s="122">
        <v>152.5</v>
      </c>
      <c r="F17" s="122">
        <v>3.12</v>
      </c>
      <c r="G17" s="122">
        <v>0.83</v>
      </c>
      <c r="H17" s="122">
        <v>0</v>
      </c>
      <c r="I17" s="128">
        <v>156.45000000000002</v>
      </c>
    </row>
    <row r="18" spans="1:9" x14ac:dyDescent="0.25">
      <c r="A18" s="124" t="str">
        <f t="shared" si="0"/>
        <v>VPT 5vv incl.bh incl.db</v>
      </c>
      <c r="B18" s="282" t="s">
        <v>378</v>
      </c>
      <c r="C18" s="120" t="s">
        <v>3160</v>
      </c>
      <c r="D18" s="434" t="str">
        <f t="shared" si="1"/>
        <v>V053 VPT 5vv incl.bh incl.db</v>
      </c>
      <c r="E18" s="122">
        <v>203.64</v>
      </c>
      <c r="F18" s="122">
        <v>4.13</v>
      </c>
      <c r="G18" s="122">
        <v>0.71</v>
      </c>
      <c r="H18" s="122">
        <v>0</v>
      </c>
      <c r="I18" s="128">
        <v>208.48</v>
      </c>
    </row>
    <row r="19" spans="1:9" x14ac:dyDescent="0.25">
      <c r="A19" s="124" t="str">
        <f t="shared" si="0"/>
        <v>VPT 6vv incl.bh incl.db</v>
      </c>
      <c r="B19" s="282" t="s">
        <v>340</v>
      </c>
      <c r="C19" s="120" t="s">
        <v>3161</v>
      </c>
      <c r="D19" s="434" t="str">
        <f t="shared" si="1"/>
        <v>V063 VPT 6vv incl.bh incl.db</v>
      </c>
      <c r="E19" s="122">
        <v>203.61</v>
      </c>
      <c r="F19" s="122">
        <v>4.51</v>
      </c>
      <c r="G19" s="122">
        <v>0.71</v>
      </c>
      <c r="H19" s="122">
        <v>0</v>
      </c>
      <c r="I19" s="128">
        <v>208.83</v>
      </c>
    </row>
    <row r="20" spans="1:9" x14ac:dyDescent="0.25">
      <c r="A20" s="124" t="str">
        <f t="shared" si="0"/>
        <v>VPT 7vv incl.bh incl.db</v>
      </c>
      <c r="B20" s="282" t="s">
        <v>268</v>
      </c>
      <c r="C20" s="120" t="s">
        <v>3162</v>
      </c>
      <c r="D20" s="434" t="str">
        <f t="shared" si="1"/>
        <v>V073 VPT 7vv incl.bh incl.db</v>
      </c>
      <c r="E20" s="122">
        <v>243.38</v>
      </c>
      <c r="F20" s="122">
        <v>4.51</v>
      </c>
      <c r="G20" s="122">
        <v>0.71</v>
      </c>
      <c r="H20" s="122">
        <v>0</v>
      </c>
      <c r="I20" s="128">
        <v>248.6</v>
      </c>
    </row>
    <row r="21" spans="1:9" x14ac:dyDescent="0.25">
      <c r="A21" s="124" t="str">
        <f t="shared" si="0"/>
        <v>VPT 8vv incl.bh incl.db</v>
      </c>
      <c r="B21" s="282" t="s">
        <v>197</v>
      </c>
      <c r="C21" s="120" t="s">
        <v>3163</v>
      </c>
      <c r="D21" s="434" t="str">
        <f t="shared" si="1"/>
        <v>V083 VPT 8vv incl.bh incl.db</v>
      </c>
      <c r="E21" s="122">
        <v>277.5</v>
      </c>
      <c r="F21" s="122">
        <v>4.51</v>
      </c>
      <c r="G21" s="122">
        <v>0.44</v>
      </c>
      <c r="H21" s="122">
        <v>0</v>
      </c>
      <c r="I21" s="128">
        <v>282.45</v>
      </c>
    </row>
    <row r="22" spans="1:9" x14ac:dyDescent="0.25">
      <c r="A22" s="124" t="str">
        <f t="shared" si="0"/>
        <v>VPT 9bvv incl.bhincl.db</v>
      </c>
      <c r="B22" s="282" t="s">
        <v>576</v>
      </c>
      <c r="C22" s="120" t="s">
        <v>3565</v>
      </c>
      <c r="D22" s="434" t="str">
        <f t="shared" si="1"/>
        <v>V097 VPT 9bvv incl.bhincl.db</v>
      </c>
      <c r="E22" s="122">
        <v>241.72</v>
      </c>
      <c r="F22" s="122">
        <v>3.7</v>
      </c>
      <c r="G22" s="122">
        <v>0.43</v>
      </c>
      <c r="H22" s="122">
        <v>0</v>
      </c>
      <c r="I22" s="128">
        <v>245.85</v>
      </c>
    </row>
    <row r="23" spans="1:9" x14ac:dyDescent="0.25">
      <c r="A23" s="124" t="str">
        <f t="shared" si="0"/>
        <v>VPT 10vv incl.bhincl.db</v>
      </c>
      <c r="B23" s="282" t="s">
        <v>188</v>
      </c>
      <c r="C23" s="120" t="s">
        <v>3566</v>
      </c>
      <c r="D23" s="434" t="str">
        <f t="shared" si="1"/>
        <v>V103 VPT 10vv incl.bhincl.db</v>
      </c>
      <c r="E23" s="122">
        <v>300.10000000000002</v>
      </c>
      <c r="F23" s="122">
        <v>4.51</v>
      </c>
      <c r="G23" s="122">
        <v>0.71</v>
      </c>
      <c r="H23" s="122">
        <v>0</v>
      </c>
      <c r="I23" s="128">
        <v>305.32</v>
      </c>
    </row>
    <row r="24" spans="1:9" x14ac:dyDescent="0.25">
      <c r="A24" s="124" t="str">
        <f t="shared" si="0"/>
        <v>VPT 1vg excl.bh excl.db</v>
      </c>
      <c r="B24" s="282" t="s">
        <v>158</v>
      </c>
      <c r="C24" s="120" t="s">
        <v>3567</v>
      </c>
      <c r="D24" s="434" t="str">
        <f t="shared" si="1"/>
        <v>V414 VPT 1vg excl.bh excl.db</v>
      </c>
      <c r="E24" s="122">
        <v>55.068190648887601</v>
      </c>
      <c r="F24" s="122">
        <v>0</v>
      </c>
      <c r="G24" s="122">
        <v>0</v>
      </c>
      <c r="H24" s="122">
        <v>0</v>
      </c>
      <c r="I24" s="128">
        <v>55.068190648887601</v>
      </c>
    </row>
    <row r="25" spans="1:9" x14ac:dyDescent="0.25">
      <c r="A25" s="124" t="str">
        <f t="shared" si="0"/>
        <v>VPT 2vg excl.bh excl.db</v>
      </c>
      <c r="B25" s="282" t="s">
        <v>252</v>
      </c>
      <c r="C25" s="120" t="s">
        <v>3568</v>
      </c>
      <c r="D25" s="434" t="str">
        <f t="shared" si="1"/>
        <v>V424 VPT 2vg excl.bh excl.db</v>
      </c>
      <c r="E25" s="122">
        <v>67.60618872459284</v>
      </c>
      <c r="F25" s="122">
        <v>0</v>
      </c>
      <c r="G25" s="122">
        <v>0</v>
      </c>
      <c r="H25" s="122">
        <v>0</v>
      </c>
      <c r="I25" s="128">
        <v>67.60618872459284</v>
      </c>
    </row>
    <row r="26" spans="1:9" x14ac:dyDescent="0.25">
      <c r="A26" s="124" t="str">
        <f t="shared" si="0"/>
        <v>VPT 1vg excl.bh incl.db</v>
      </c>
      <c r="B26" s="282" t="s">
        <v>79</v>
      </c>
      <c r="C26" s="120" t="s">
        <v>3569</v>
      </c>
      <c r="D26" s="434" t="str">
        <f t="shared" si="1"/>
        <v>V415 VPT 1vg excl.bh incl.db</v>
      </c>
      <c r="E26" s="122">
        <v>87.955050082640227</v>
      </c>
      <c r="F26" s="122">
        <v>7.4699999999999989</v>
      </c>
      <c r="G26" s="122">
        <v>0.99</v>
      </c>
      <c r="H26" s="122">
        <v>0</v>
      </c>
      <c r="I26" s="128">
        <v>96.415050082640221</v>
      </c>
    </row>
    <row r="27" spans="1:9" x14ac:dyDescent="0.25">
      <c r="A27" s="124" t="str">
        <f t="shared" si="0"/>
        <v>VPT 2vg excl.bh incl.db</v>
      </c>
      <c r="B27" s="282" t="s">
        <v>177</v>
      </c>
      <c r="C27" s="120" t="s">
        <v>3570</v>
      </c>
      <c r="D27" s="434" t="str">
        <f t="shared" si="1"/>
        <v>V425 VPT 2vg excl.bh incl.db</v>
      </c>
      <c r="E27" s="122">
        <v>99.296257774979068</v>
      </c>
      <c r="F27" s="122">
        <v>7.4699999999999989</v>
      </c>
      <c r="G27" s="122">
        <v>0.99</v>
      </c>
      <c r="H27" s="122">
        <v>0</v>
      </c>
      <c r="I27" s="128">
        <v>107.75625777497906</v>
      </c>
    </row>
    <row r="28" spans="1:9" x14ac:dyDescent="0.25">
      <c r="A28" s="124" t="str">
        <f t="shared" si="0"/>
        <v>VPT 3vg excl.bh excl.db</v>
      </c>
      <c r="B28" s="282" t="s">
        <v>220</v>
      </c>
      <c r="C28" s="120" t="s">
        <v>3184</v>
      </c>
      <c r="D28" s="434" t="str">
        <f t="shared" si="1"/>
        <v>V430 VPT 3vg excl.bh excl.db</v>
      </c>
      <c r="E28" s="122">
        <v>93.287151444190116</v>
      </c>
      <c r="F28" s="122">
        <v>0</v>
      </c>
      <c r="G28" s="122">
        <v>0</v>
      </c>
      <c r="H28" s="122">
        <v>0</v>
      </c>
      <c r="I28" s="128">
        <v>93.287151444190116</v>
      </c>
    </row>
    <row r="29" spans="1:9" x14ac:dyDescent="0.25">
      <c r="A29" s="124" t="str">
        <f t="shared" si="0"/>
        <v>VPT 4vg excl.bh excl.db</v>
      </c>
      <c r="B29" s="282" t="s">
        <v>275</v>
      </c>
      <c r="C29" s="120" t="s">
        <v>3185</v>
      </c>
      <c r="D29" s="434" t="str">
        <f t="shared" si="1"/>
        <v>V440 VPT 4vg excl.bh excl.db</v>
      </c>
      <c r="E29" s="122">
        <v>114.18009999028516</v>
      </c>
      <c r="F29" s="122">
        <v>0</v>
      </c>
      <c r="G29" s="122">
        <v>0</v>
      </c>
      <c r="H29" s="122">
        <v>0</v>
      </c>
      <c r="I29" s="128">
        <v>114.18009999028516</v>
      </c>
    </row>
    <row r="30" spans="1:9" x14ac:dyDescent="0.25">
      <c r="A30" s="124" t="str">
        <f t="shared" si="0"/>
        <v>VPT 5vg excl.bh excl.db</v>
      </c>
      <c r="B30" s="282" t="s">
        <v>288</v>
      </c>
      <c r="C30" s="120" t="s">
        <v>3186</v>
      </c>
      <c r="D30" s="434" t="str">
        <f t="shared" si="1"/>
        <v>V454 VPT 5vg excl.bh excl.db</v>
      </c>
      <c r="E30" s="122">
        <v>152.73167493660105</v>
      </c>
      <c r="F30" s="122">
        <v>0</v>
      </c>
      <c r="G30" s="122">
        <v>0</v>
      </c>
      <c r="H30" s="122">
        <v>0</v>
      </c>
      <c r="I30" s="128">
        <v>152.73167493660105</v>
      </c>
    </row>
    <row r="31" spans="1:9" x14ac:dyDescent="0.25">
      <c r="A31" s="124" t="str">
        <f t="shared" si="0"/>
        <v>VPT 6vg excl.bh excl.db</v>
      </c>
      <c r="B31" s="282" t="s">
        <v>310</v>
      </c>
      <c r="C31" s="120" t="s">
        <v>3187</v>
      </c>
      <c r="D31" s="434" t="str">
        <f t="shared" si="1"/>
        <v>V460 VPT 6vg excl.bh excl.db</v>
      </c>
      <c r="E31" s="122">
        <v>119.0066787459839</v>
      </c>
      <c r="F31" s="122">
        <v>0</v>
      </c>
      <c r="G31" s="122">
        <v>0</v>
      </c>
      <c r="H31" s="122">
        <v>0</v>
      </c>
      <c r="I31" s="128">
        <v>119.0066787459839</v>
      </c>
    </row>
    <row r="32" spans="1:9" x14ac:dyDescent="0.25">
      <c r="A32" s="124" t="str">
        <f t="shared" si="0"/>
        <v>VPT 7vg excl.bh excl.db</v>
      </c>
      <c r="B32" s="282" t="s">
        <v>147</v>
      </c>
      <c r="C32" s="120" t="s">
        <v>3188</v>
      </c>
      <c r="D32" s="434" t="str">
        <f t="shared" si="1"/>
        <v>V470 VPT 7vg excl.bh excl.db</v>
      </c>
      <c r="E32" s="122">
        <v>165.86764084009522</v>
      </c>
      <c r="F32" s="122">
        <v>0</v>
      </c>
      <c r="G32" s="122">
        <v>0</v>
      </c>
      <c r="H32" s="122">
        <v>0</v>
      </c>
      <c r="I32" s="128">
        <v>165.86764084009522</v>
      </c>
    </row>
    <row r="33" spans="1:9" x14ac:dyDescent="0.25">
      <c r="A33" s="124" t="str">
        <f t="shared" si="0"/>
        <v>VPT 8vg excl.bh excl.db</v>
      </c>
      <c r="B33" s="282" t="s">
        <v>373</v>
      </c>
      <c r="C33" s="120" t="s">
        <v>3189</v>
      </c>
      <c r="D33" s="434" t="str">
        <f t="shared" si="1"/>
        <v>V480 VPT 8vg excl.bh excl.db</v>
      </c>
      <c r="E33" s="122">
        <v>179.99244424591183</v>
      </c>
      <c r="F33" s="122">
        <v>0</v>
      </c>
      <c r="G33" s="122">
        <v>0</v>
      </c>
      <c r="H33" s="122">
        <v>0</v>
      </c>
      <c r="I33" s="128">
        <v>179.99244424591183</v>
      </c>
    </row>
    <row r="34" spans="1:9" x14ac:dyDescent="0.25">
      <c r="A34" s="124" t="str">
        <f t="shared" si="0"/>
        <v>VPT 3vg excl.bh incl.db</v>
      </c>
      <c r="B34" s="282" t="s">
        <v>266</v>
      </c>
      <c r="C34" s="120" t="s">
        <v>3190</v>
      </c>
      <c r="D34" s="434" t="str">
        <f t="shared" si="1"/>
        <v>V431 VPT 3vg excl.bh incl.db</v>
      </c>
      <c r="E34" s="122">
        <v>123.03146633648319</v>
      </c>
      <c r="F34" s="122">
        <v>7.4699999999999989</v>
      </c>
      <c r="G34" s="122">
        <v>0.99</v>
      </c>
      <c r="H34" s="122">
        <v>0</v>
      </c>
      <c r="I34" s="128">
        <v>131.4914663364832</v>
      </c>
    </row>
    <row r="35" spans="1:9" x14ac:dyDescent="0.25">
      <c r="A35" s="124" t="str">
        <f t="shared" si="0"/>
        <v>VPT 4vg excl.bh incl.db</v>
      </c>
      <c r="B35" s="282" t="s">
        <v>231</v>
      </c>
      <c r="C35" s="120" t="s">
        <v>3191</v>
      </c>
      <c r="D35" s="434" t="str">
        <f t="shared" si="1"/>
        <v>V441 VPT 4vg excl.bh incl.db</v>
      </c>
      <c r="E35" s="122">
        <v>143.08120822519086</v>
      </c>
      <c r="F35" s="122">
        <v>7.4699999999999989</v>
      </c>
      <c r="G35" s="122">
        <v>0.99</v>
      </c>
      <c r="H35" s="122">
        <v>0</v>
      </c>
      <c r="I35" s="128">
        <v>151.54120822519087</v>
      </c>
    </row>
    <row r="36" spans="1:9" x14ac:dyDescent="0.25">
      <c r="A36" s="124" t="str">
        <f t="shared" si="0"/>
        <v>VPT 5vg excl.bh incl.db</v>
      </c>
      <c r="B36" s="282" t="s">
        <v>366</v>
      </c>
      <c r="C36" s="120" t="s">
        <v>3192</v>
      </c>
      <c r="D36" s="434" t="str">
        <f t="shared" si="1"/>
        <v>V455 VPT 5vg excl.bh incl.db</v>
      </c>
      <c r="E36" s="122">
        <v>201.19112676448185</v>
      </c>
      <c r="F36" s="122">
        <v>8.89</v>
      </c>
      <c r="G36" s="122">
        <v>0.85</v>
      </c>
      <c r="H36" s="122">
        <v>0</v>
      </c>
      <c r="I36" s="128">
        <v>210.93112676448183</v>
      </c>
    </row>
    <row r="37" spans="1:9" x14ac:dyDescent="0.25">
      <c r="A37" s="124" t="str">
        <f t="shared" si="0"/>
        <v>VPT 6vg excl.bh incl.db</v>
      </c>
      <c r="B37" s="282" t="s">
        <v>102</v>
      </c>
      <c r="C37" s="120" t="s">
        <v>3193</v>
      </c>
      <c r="D37" s="434" t="str">
        <f t="shared" si="1"/>
        <v>V461 VPT 6vg excl.bh incl.db</v>
      </c>
      <c r="E37" s="122">
        <v>165.88430021850138</v>
      </c>
      <c r="F37" s="122">
        <v>8.89</v>
      </c>
      <c r="G37" s="122">
        <v>0.83</v>
      </c>
      <c r="H37" s="122">
        <v>0</v>
      </c>
      <c r="I37" s="128">
        <v>175.60430021850138</v>
      </c>
    </row>
    <row r="38" spans="1:9" x14ac:dyDescent="0.25">
      <c r="A38" s="124" t="str">
        <f t="shared" si="0"/>
        <v>VPT 7vg excl.bh incl.db</v>
      </c>
      <c r="B38" s="282" t="s">
        <v>142</v>
      </c>
      <c r="C38" s="120" t="s">
        <v>3194</v>
      </c>
      <c r="D38" s="434" t="str">
        <f t="shared" si="1"/>
        <v>V471 VPT 7vg excl.bh incl.db</v>
      </c>
      <c r="E38" s="122">
        <v>221.11675211815736</v>
      </c>
      <c r="F38" s="122">
        <v>8.89</v>
      </c>
      <c r="G38" s="122">
        <v>0.84</v>
      </c>
      <c r="H38" s="122">
        <v>0</v>
      </c>
      <c r="I38" s="128">
        <v>230.84675211815735</v>
      </c>
    </row>
    <row r="39" spans="1:9" x14ac:dyDescent="0.25">
      <c r="A39" s="124" t="str">
        <f t="shared" si="0"/>
        <v>VPT 8vg excl.bh incl.db</v>
      </c>
      <c r="B39" s="282" t="s">
        <v>250</v>
      </c>
      <c r="C39" s="120" t="s">
        <v>3195</v>
      </c>
      <c r="D39" s="434" t="str">
        <f t="shared" si="1"/>
        <v>V481 VPT 8vg excl.bh incl.db</v>
      </c>
      <c r="E39" s="122">
        <v>248.16490390839004</v>
      </c>
      <c r="F39" s="122">
        <v>10.79</v>
      </c>
      <c r="G39" s="122">
        <v>0.85</v>
      </c>
      <c r="H39" s="122">
        <v>0</v>
      </c>
      <c r="I39" s="128">
        <v>259.80490390839009</v>
      </c>
    </row>
    <row r="40" spans="1:9" x14ac:dyDescent="0.25">
      <c r="A40" s="124" t="str">
        <f t="shared" si="0"/>
        <v>VPT 3vg incl.bh excl.db</v>
      </c>
      <c r="B40" s="282" t="s">
        <v>235</v>
      </c>
      <c r="C40" s="120" t="s">
        <v>3196</v>
      </c>
      <c r="D40" s="434" t="str">
        <f t="shared" si="1"/>
        <v>V432 VPT 3vg incl.bh excl.db</v>
      </c>
      <c r="E40" s="122">
        <v>115.46805264508852</v>
      </c>
      <c r="F40" s="122">
        <v>0</v>
      </c>
      <c r="G40" s="122">
        <v>0</v>
      </c>
      <c r="H40" s="122">
        <v>0</v>
      </c>
      <c r="I40" s="128">
        <v>115.46805264508852</v>
      </c>
    </row>
    <row r="41" spans="1:9" x14ac:dyDescent="0.25">
      <c r="A41" s="124" t="str">
        <f t="shared" si="0"/>
        <v>VPT 4vg incl.bh excl.db</v>
      </c>
      <c r="B41" s="282" t="s">
        <v>318</v>
      </c>
      <c r="C41" s="120" t="s">
        <v>3197</v>
      </c>
      <c r="D41" s="434" t="str">
        <f t="shared" si="1"/>
        <v>V442 VPT 4vg incl.bh excl.db</v>
      </c>
      <c r="E41" s="122">
        <v>152.13073370320529</v>
      </c>
      <c r="F41" s="122">
        <v>0</v>
      </c>
      <c r="G41" s="122">
        <v>0</v>
      </c>
      <c r="H41" s="122">
        <v>0</v>
      </c>
      <c r="I41" s="128">
        <v>152.13073370320529</v>
      </c>
    </row>
    <row r="42" spans="1:9" x14ac:dyDescent="0.25">
      <c r="A42" s="124" t="str">
        <f t="shared" si="0"/>
        <v>VPT 5vg incl.bh excl.db</v>
      </c>
      <c r="B42" s="282" t="s">
        <v>202</v>
      </c>
      <c r="C42" s="120" t="s">
        <v>3198</v>
      </c>
      <c r="D42" s="434" t="str">
        <f t="shared" si="1"/>
        <v>V456 VPT 5vg incl.bh excl.db</v>
      </c>
      <c r="E42" s="122">
        <v>184.47737520901404</v>
      </c>
      <c r="F42" s="122">
        <v>0</v>
      </c>
      <c r="G42" s="122">
        <v>0</v>
      </c>
      <c r="H42" s="122">
        <v>0</v>
      </c>
      <c r="I42" s="128">
        <v>184.47737520901404</v>
      </c>
    </row>
    <row r="43" spans="1:9" x14ac:dyDescent="0.25">
      <c r="A43" s="124" t="str">
        <f t="shared" si="0"/>
        <v>VPT 6vg incl.bh excl.db</v>
      </c>
      <c r="B43" s="282" t="s">
        <v>64</v>
      </c>
      <c r="C43" s="120" t="s">
        <v>3199</v>
      </c>
      <c r="D43" s="434" t="str">
        <f t="shared" si="1"/>
        <v>V462 VPT 6vg incl.bh excl.db</v>
      </c>
      <c r="E43" s="122">
        <v>161.16430097526481</v>
      </c>
      <c r="F43" s="122">
        <v>0</v>
      </c>
      <c r="G43" s="122">
        <v>0</v>
      </c>
      <c r="H43" s="122">
        <v>0</v>
      </c>
      <c r="I43" s="128">
        <v>161.16430097526481</v>
      </c>
    </row>
    <row r="44" spans="1:9" x14ac:dyDescent="0.25">
      <c r="A44" s="124" t="str">
        <f t="shared" si="0"/>
        <v>VPT 7vg incl.bh excl.db</v>
      </c>
      <c r="B44" s="282" t="s">
        <v>329</v>
      </c>
      <c r="C44" s="120" t="s">
        <v>3200</v>
      </c>
      <c r="D44" s="434" t="str">
        <f t="shared" si="1"/>
        <v>V472 VPT 7vg incl.bh excl.db</v>
      </c>
      <c r="E44" s="122">
        <v>239.27611006464548</v>
      </c>
      <c r="F44" s="122">
        <v>0</v>
      </c>
      <c r="G44" s="122">
        <v>0</v>
      </c>
      <c r="H44" s="122">
        <v>0</v>
      </c>
      <c r="I44" s="128">
        <v>239.27611006464548</v>
      </c>
    </row>
    <row r="45" spans="1:9" x14ac:dyDescent="0.25">
      <c r="A45" s="124" t="str">
        <f t="shared" si="0"/>
        <v>VPT 8vg incl.bh excl.db</v>
      </c>
      <c r="B45" s="282" t="s">
        <v>282</v>
      </c>
      <c r="C45" s="120" t="s">
        <v>3201</v>
      </c>
      <c r="D45" s="434" t="str">
        <f t="shared" si="1"/>
        <v>V482 VPT 8vg incl.bh excl.db</v>
      </c>
      <c r="E45" s="122">
        <v>223.72966023292321</v>
      </c>
      <c r="F45" s="122">
        <v>0</v>
      </c>
      <c r="G45" s="122">
        <v>0</v>
      </c>
      <c r="H45" s="122">
        <v>0</v>
      </c>
      <c r="I45" s="128">
        <v>223.72966023292321</v>
      </c>
    </row>
    <row r="46" spans="1:9" x14ac:dyDescent="0.25">
      <c r="A46" s="124" t="str">
        <f t="shared" si="0"/>
        <v>VPT 3vg incl.bh incl.db</v>
      </c>
      <c r="B46" s="282" t="s">
        <v>300</v>
      </c>
      <c r="C46" s="120" t="s">
        <v>3202</v>
      </c>
      <c r="D46" s="434" t="str">
        <f t="shared" si="1"/>
        <v>V433 VPT 3vg incl.bh incl.db</v>
      </c>
      <c r="E46" s="122">
        <v>146.24675128844842</v>
      </c>
      <c r="F46" s="122">
        <v>7.4699999999999989</v>
      </c>
      <c r="G46" s="122">
        <v>0.99</v>
      </c>
      <c r="H46" s="122">
        <v>0</v>
      </c>
      <c r="I46" s="128">
        <v>154.70675128844843</v>
      </c>
    </row>
    <row r="47" spans="1:9" x14ac:dyDescent="0.25">
      <c r="A47" s="124" t="str">
        <f t="shared" si="0"/>
        <v>VPT 4vg incl.bh incl.db</v>
      </c>
      <c r="B47" s="282" t="s">
        <v>105</v>
      </c>
      <c r="C47" s="120" t="s">
        <v>3203</v>
      </c>
      <c r="D47" s="434" t="str">
        <f t="shared" si="1"/>
        <v>V443 VPT 4vg incl.bh incl.db</v>
      </c>
      <c r="E47" s="122">
        <v>170.905905623482</v>
      </c>
      <c r="F47" s="122">
        <v>7.4699999999999989</v>
      </c>
      <c r="G47" s="122">
        <v>0.99</v>
      </c>
      <c r="H47" s="122">
        <v>0</v>
      </c>
      <c r="I47" s="128">
        <v>179.36590562348201</v>
      </c>
    </row>
    <row r="48" spans="1:9" x14ac:dyDescent="0.25">
      <c r="A48" s="124" t="str">
        <f t="shared" si="0"/>
        <v>VPT 5vg incl.bh incl.db</v>
      </c>
      <c r="B48" s="282" t="s">
        <v>350</v>
      </c>
      <c r="C48" s="120" t="s">
        <v>3204</v>
      </c>
      <c r="D48" s="434" t="str">
        <f t="shared" si="1"/>
        <v>V457 VPT 5vg incl.bh incl.db</v>
      </c>
      <c r="E48" s="122">
        <v>235.40695216184713</v>
      </c>
      <c r="F48" s="122">
        <v>8.89</v>
      </c>
      <c r="G48" s="122">
        <v>0.85</v>
      </c>
      <c r="H48" s="122">
        <v>0</v>
      </c>
      <c r="I48" s="128">
        <v>245.14695216184711</v>
      </c>
    </row>
    <row r="49" spans="1:9" x14ac:dyDescent="0.25">
      <c r="A49" s="124" t="str">
        <f t="shared" si="0"/>
        <v>VPT 6vg incl.bh incl.db</v>
      </c>
      <c r="B49" s="282" t="s">
        <v>223</v>
      </c>
      <c r="C49" s="120" t="s">
        <v>3205</v>
      </c>
      <c r="D49" s="434" t="str">
        <f t="shared" si="1"/>
        <v>V463 VPT 6vg incl.bh incl.db</v>
      </c>
      <c r="E49" s="122">
        <v>199.03965302995925</v>
      </c>
      <c r="F49" s="122">
        <v>8.89</v>
      </c>
      <c r="G49" s="122">
        <v>0.83</v>
      </c>
      <c r="H49" s="122">
        <v>0</v>
      </c>
      <c r="I49" s="128">
        <v>208.75965302995925</v>
      </c>
    </row>
    <row r="50" spans="1:9" x14ac:dyDescent="0.25">
      <c r="A50" s="124" t="str">
        <f t="shared" si="0"/>
        <v>VPT 7vg incl.bh incl.db</v>
      </c>
      <c r="B50" s="282" t="s">
        <v>183</v>
      </c>
      <c r="C50" s="120" t="s">
        <v>3206</v>
      </c>
      <c r="D50" s="434" t="str">
        <f t="shared" si="1"/>
        <v>V473 VPT 7vg incl.bh incl.db</v>
      </c>
      <c r="E50" s="122">
        <v>228.6290383324536</v>
      </c>
      <c r="F50" s="122">
        <v>8.89</v>
      </c>
      <c r="G50" s="122">
        <v>0.84</v>
      </c>
      <c r="H50" s="122">
        <v>0</v>
      </c>
      <c r="I50" s="128">
        <v>238.35903833245359</v>
      </c>
    </row>
    <row r="51" spans="1:9" x14ac:dyDescent="0.25">
      <c r="A51" s="124" t="str">
        <f t="shared" si="0"/>
        <v>VPT 8vg incl.bh incl.db</v>
      </c>
      <c r="B51" s="282" t="s">
        <v>352</v>
      </c>
      <c r="C51" s="120" t="s">
        <v>3207</v>
      </c>
      <c r="D51" s="434" t="str">
        <f t="shared" si="1"/>
        <v>V483 VPT 8vg incl.bh incl.db</v>
      </c>
      <c r="E51" s="122">
        <v>290.39622393979738</v>
      </c>
      <c r="F51" s="122">
        <v>10.79</v>
      </c>
      <c r="G51" s="122">
        <v>0.85</v>
      </c>
      <c r="H51" s="122">
        <v>0</v>
      </c>
      <c r="I51" s="128">
        <v>302.03622393979742</v>
      </c>
    </row>
    <row r="52" spans="1:9" x14ac:dyDescent="0.25">
      <c r="A52" s="124" t="str">
        <f t="shared" si="0"/>
        <v>VPT 1lvg incl.bh incl.db</v>
      </c>
      <c r="B52" s="282" t="s">
        <v>126</v>
      </c>
      <c r="C52" s="120" t="s">
        <v>3208</v>
      </c>
      <c r="D52" s="434" t="str">
        <f t="shared" si="1"/>
        <v>V513 VPT 1lvg incl.bh incl.db</v>
      </c>
      <c r="E52" s="122">
        <v>181.71156252222264</v>
      </c>
      <c r="F52" s="122">
        <v>0</v>
      </c>
      <c r="G52" s="122">
        <v>0</v>
      </c>
      <c r="H52" s="122">
        <v>0</v>
      </c>
      <c r="I52" s="128">
        <v>181.71156252222264</v>
      </c>
    </row>
    <row r="53" spans="1:9" x14ac:dyDescent="0.25">
      <c r="A53" s="124" t="str">
        <f t="shared" si="0"/>
        <v>VPT 2lvg incl.bh incl.db</v>
      </c>
      <c r="B53" s="282" t="s">
        <v>257</v>
      </c>
      <c r="C53" s="120" t="s">
        <v>3209</v>
      </c>
      <c r="D53" s="434" t="str">
        <f t="shared" si="1"/>
        <v>V523 VPT 2lvg incl.bh incl.db</v>
      </c>
      <c r="E53" s="122">
        <v>223.02982540497803</v>
      </c>
      <c r="F53" s="122">
        <v>0</v>
      </c>
      <c r="G53" s="122">
        <v>0</v>
      </c>
      <c r="H53" s="122">
        <v>0</v>
      </c>
      <c r="I53" s="128">
        <v>223.02982540497803</v>
      </c>
    </row>
    <row r="54" spans="1:9" x14ac:dyDescent="0.25">
      <c r="A54" s="124" t="str">
        <f t="shared" si="0"/>
        <v>VPT 3lvg incl.bh incl.db</v>
      </c>
      <c r="B54" s="282" t="s">
        <v>272</v>
      </c>
      <c r="C54" s="120" t="s">
        <v>3210</v>
      </c>
      <c r="D54" s="434" t="str">
        <f t="shared" si="1"/>
        <v>V533 VPT 3lvg incl.bh incl.db</v>
      </c>
      <c r="E54" s="122">
        <v>288.0679873296308</v>
      </c>
      <c r="F54" s="122">
        <v>0</v>
      </c>
      <c r="G54" s="122">
        <v>0</v>
      </c>
      <c r="H54" s="122">
        <v>0</v>
      </c>
      <c r="I54" s="128">
        <v>288.0679873296308</v>
      </c>
    </row>
    <row r="55" spans="1:9" x14ac:dyDescent="0.25">
      <c r="A55" s="124" t="str">
        <f t="shared" si="0"/>
        <v>VPT 4lvg incl.bh incl.db</v>
      </c>
      <c r="B55" s="282" t="s">
        <v>241</v>
      </c>
      <c r="C55" s="120" t="s">
        <v>3211</v>
      </c>
      <c r="D55" s="434" t="str">
        <f t="shared" si="1"/>
        <v>V543 VPT 4lvg incl.bh incl.db</v>
      </c>
      <c r="E55" s="122">
        <v>336.20734898974183</v>
      </c>
      <c r="F55" s="122">
        <v>0</v>
      </c>
      <c r="G55" s="122">
        <v>0</v>
      </c>
      <c r="H55" s="122">
        <v>0</v>
      </c>
      <c r="I55" s="128">
        <v>336.20734898974183</v>
      </c>
    </row>
    <row r="56" spans="1:9" x14ac:dyDescent="0.25">
      <c r="A56" s="124" t="str">
        <f t="shared" si="0"/>
        <v>VPT 5lvg incl.bh incl.db</v>
      </c>
      <c r="B56" s="282" t="s">
        <v>206</v>
      </c>
      <c r="C56" s="120" t="s">
        <v>3212</v>
      </c>
      <c r="D56" s="434" t="str">
        <f t="shared" si="1"/>
        <v>V553 VPT 5lvg incl.bh incl.db</v>
      </c>
      <c r="E56" s="122">
        <v>318.4879602792123</v>
      </c>
      <c r="F56" s="122">
        <v>0</v>
      </c>
      <c r="G56" s="122">
        <v>0</v>
      </c>
      <c r="H56" s="122">
        <v>0</v>
      </c>
      <c r="I56" s="128">
        <v>318.4879602792123</v>
      </c>
    </row>
    <row r="57" spans="1:9" x14ac:dyDescent="0.25">
      <c r="A57" s="124" t="str">
        <f t="shared" si="0"/>
        <v>VPT 1sglvg incl.bh incl.db</v>
      </c>
      <c r="B57" s="282" t="s">
        <v>566</v>
      </c>
      <c r="C57" s="120" t="s">
        <v>3213</v>
      </c>
      <c r="D57" s="434" t="str">
        <f t="shared" si="1"/>
        <v>V573 VPT 1sglvg incl.bh incl.db</v>
      </c>
      <c r="E57" s="122">
        <v>348.95</v>
      </c>
      <c r="F57" s="122">
        <v>0</v>
      </c>
      <c r="G57" s="122">
        <v>0</v>
      </c>
      <c r="H57" s="122">
        <v>0</v>
      </c>
      <c r="I57" s="128">
        <v>348.95</v>
      </c>
    </row>
    <row r="58" spans="1:9" x14ac:dyDescent="0.25">
      <c r="A58" s="124" t="str">
        <f t="shared" si="0"/>
        <v>VPT 1lg excl.bh excl.db</v>
      </c>
      <c r="B58" s="282" t="s">
        <v>217</v>
      </c>
      <c r="C58" s="120" t="s">
        <v>3571</v>
      </c>
      <c r="D58" s="434" t="str">
        <f t="shared" si="1"/>
        <v>V614 VPT 1lg excl.bh excl.db</v>
      </c>
      <c r="E58" s="122">
        <v>80.184296978590254</v>
      </c>
      <c r="F58" s="122">
        <v>0</v>
      </c>
      <c r="G58" s="122">
        <v>0</v>
      </c>
      <c r="H58" s="122">
        <v>0</v>
      </c>
      <c r="I58" s="128">
        <v>80.184296978590254</v>
      </c>
    </row>
    <row r="59" spans="1:9" x14ac:dyDescent="0.25">
      <c r="A59" s="124" t="str">
        <f t="shared" si="0"/>
        <v>VPT 2lg excl.bh excl.db</v>
      </c>
      <c r="B59" s="282" t="s">
        <v>123</v>
      </c>
      <c r="C59" s="120" t="s">
        <v>3572</v>
      </c>
      <c r="D59" s="434" t="str">
        <f t="shared" si="1"/>
        <v>V624 VPT 2lg excl.bh excl.db</v>
      </c>
      <c r="E59" s="122">
        <v>116.95853183103148</v>
      </c>
      <c r="F59" s="122">
        <v>0</v>
      </c>
      <c r="G59" s="122">
        <v>0</v>
      </c>
      <c r="H59" s="122">
        <v>0</v>
      </c>
      <c r="I59" s="128">
        <v>116.95853183103148</v>
      </c>
    </row>
    <row r="60" spans="1:9" x14ac:dyDescent="0.25">
      <c r="A60" s="124" t="str">
        <f t="shared" si="0"/>
        <v>VPT 1lg excl.bh incl.db</v>
      </c>
      <c r="B60" s="282" t="s">
        <v>112</v>
      </c>
      <c r="C60" s="120" t="s">
        <v>3573</v>
      </c>
      <c r="D60" s="434" t="str">
        <f t="shared" si="1"/>
        <v>V615 VPT 1lg excl.bh incl.db</v>
      </c>
      <c r="E60" s="122">
        <v>128.54513266821516</v>
      </c>
      <c r="F60" s="122">
        <v>7.4699999999999989</v>
      </c>
      <c r="G60" s="122">
        <v>1.47</v>
      </c>
      <c r="H60" s="122">
        <v>0</v>
      </c>
      <c r="I60" s="128">
        <v>137.48513266821516</v>
      </c>
    </row>
    <row r="61" spans="1:9" x14ac:dyDescent="0.25">
      <c r="A61" s="124" t="str">
        <f t="shared" si="0"/>
        <v>VPT 2lg excl.bh incl.db</v>
      </c>
      <c r="B61" s="282" t="s">
        <v>278</v>
      </c>
      <c r="C61" s="120" t="s">
        <v>3574</v>
      </c>
      <c r="D61" s="434" t="str">
        <f t="shared" si="1"/>
        <v>V625 VPT 2lg excl.bh incl.db</v>
      </c>
      <c r="E61" s="122">
        <v>154.89821857130852</v>
      </c>
      <c r="F61" s="122">
        <v>7.4699999999999989</v>
      </c>
      <c r="G61" s="122">
        <v>1.47</v>
      </c>
      <c r="H61" s="122">
        <v>0</v>
      </c>
      <c r="I61" s="128">
        <v>163.83821857130852</v>
      </c>
    </row>
    <row r="62" spans="1:9" x14ac:dyDescent="0.25">
      <c r="A62" s="124" t="str">
        <f t="shared" si="0"/>
        <v>VPT 3lg excl.bh excl.db</v>
      </c>
      <c r="B62" s="282" t="s">
        <v>255</v>
      </c>
      <c r="C62" s="120" t="s">
        <v>3218</v>
      </c>
      <c r="D62" s="434" t="str">
        <f t="shared" si="1"/>
        <v>V630 VPT 3lg excl.bh excl.db</v>
      </c>
      <c r="E62" s="122">
        <v>90.655774999477799</v>
      </c>
      <c r="F62" s="122">
        <v>0</v>
      </c>
      <c r="G62" s="122">
        <v>0</v>
      </c>
      <c r="H62" s="122">
        <v>0</v>
      </c>
      <c r="I62" s="128">
        <v>90.655774999477799</v>
      </c>
    </row>
    <row r="63" spans="1:9" x14ac:dyDescent="0.25">
      <c r="A63" s="124" t="str">
        <f t="shared" si="0"/>
        <v>VPT 4lg excl.bh excl.db</v>
      </c>
      <c r="B63" s="282" t="s">
        <v>343</v>
      </c>
      <c r="C63" s="120" t="s">
        <v>3219</v>
      </c>
      <c r="D63" s="434" t="str">
        <f t="shared" si="1"/>
        <v>V640 VPT 4lg excl.bh excl.db</v>
      </c>
      <c r="E63" s="122">
        <v>142.10788125402721</v>
      </c>
      <c r="F63" s="122">
        <v>0</v>
      </c>
      <c r="G63" s="122">
        <v>0</v>
      </c>
      <c r="H63" s="122">
        <v>0</v>
      </c>
      <c r="I63" s="128">
        <v>142.10788125402721</v>
      </c>
    </row>
    <row r="64" spans="1:9" x14ac:dyDescent="0.25">
      <c r="A64" s="124" t="str">
        <f t="shared" si="0"/>
        <v>VPT 5lg excl.bh excl.db</v>
      </c>
      <c r="B64" s="282" t="s">
        <v>143</v>
      </c>
      <c r="C64" s="120" t="s">
        <v>3220</v>
      </c>
      <c r="D64" s="434" t="str">
        <f t="shared" si="1"/>
        <v>V650 VPT 5lg excl.bh excl.db</v>
      </c>
      <c r="E64" s="122">
        <v>143.71202121814392</v>
      </c>
      <c r="F64" s="122">
        <v>0</v>
      </c>
      <c r="G64" s="122">
        <v>0</v>
      </c>
      <c r="H64" s="122">
        <v>0</v>
      </c>
      <c r="I64" s="128">
        <v>143.71202121814392</v>
      </c>
    </row>
    <row r="65" spans="1:9" x14ac:dyDescent="0.25">
      <c r="A65" s="124" t="str">
        <f t="shared" si="0"/>
        <v>VPT 6lg excl.bh excl.db</v>
      </c>
      <c r="B65" s="282" t="s">
        <v>228</v>
      </c>
      <c r="C65" s="120" t="s">
        <v>3221</v>
      </c>
      <c r="D65" s="434" t="str">
        <f t="shared" si="1"/>
        <v>V660 VPT 6lg excl.bh excl.db</v>
      </c>
      <c r="E65" s="122">
        <v>199.55888424457731</v>
      </c>
      <c r="F65" s="122">
        <v>0</v>
      </c>
      <c r="G65" s="122">
        <v>0</v>
      </c>
      <c r="H65" s="122">
        <v>0</v>
      </c>
      <c r="I65" s="128">
        <v>199.55888424457731</v>
      </c>
    </row>
    <row r="66" spans="1:9" x14ac:dyDescent="0.25">
      <c r="A66" s="124" t="str">
        <f t="shared" si="0"/>
        <v>VPT 7lg excl.bh excl.db</v>
      </c>
      <c r="B66" s="282" t="s">
        <v>162</v>
      </c>
      <c r="C66" s="120" t="s">
        <v>3222</v>
      </c>
      <c r="D66" s="434" t="str">
        <f t="shared" si="1"/>
        <v>V670 VPT 7lg excl.bh excl.db</v>
      </c>
      <c r="E66" s="122">
        <v>226.16216367750789</v>
      </c>
      <c r="F66" s="122">
        <v>0</v>
      </c>
      <c r="G66" s="122">
        <v>0</v>
      </c>
      <c r="H66" s="122">
        <v>0</v>
      </c>
      <c r="I66" s="128">
        <v>226.16216367750789</v>
      </c>
    </row>
    <row r="67" spans="1:9" x14ac:dyDescent="0.25">
      <c r="A67" s="124" t="str">
        <f t="shared" si="0"/>
        <v>VPT 3lg excl.bh incl.db</v>
      </c>
      <c r="B67" s="282" t="s">
        <v>137</v>
      </c>
      <c r="C67" s="120" t="s">
        <v>3223</v>
      </c>
      <c r="D67" s="434" t="str">
        <f t="shared" si="1"/>
        <v>V631 VPT 3lg excl.bh incl.db</v>
      </c>
      <c r="E67" s="122">
        <v>141.51595914004182</v>
      </c>
      <c r="F67" s="122">
        <v>7.4699999999999989</v>
      </c>
      <c r="G67" s="122">
        <v>1.47</v>
      </c>
      <c r="H67" s="122">
        <v>0</v>
      </c>
      <c r="I67" s="128">
        <v>150.45595914004181</v>
      </c>
    </row>
    <row r="68" spans="1:9" x14ac:dyDescent="0.25">
      <c r="A68" s="124" t="str">
        <f t="shared" si="0"/>
        <v>VPT 4lg excl.bh incl.db</v>
      </c>
      <c r="B68" s="282" t="s">
        <v>337</v>
      </c>
      <c r="C68" s="120" t="s">
        <v>3224</v>
      </c>
      <c r="D68" s="434" t="str">
        <f t="shared" si="1"/>
        <v>V641 VPT 4lg excl.bh incl.db</v>
      </c>
      <c r="E68" s="122">
        <v>181.53142705547108</v>
      </c>
      <c r="F68" s="122">
        <v>7.4699999999999989</v>
      </c>
      <c r="G68" s="122">
        <v>1.47</v>
      </c>
      <c r="H68" s="122">
        <v>0</v>
      </c>
      <c r="I68" s="128">
        <v>190.47142705547108</v>
      </c>
    </row>
    <row r="69" spans="1:9" x14ac:dyDescent="0.25">
      <c r="A69" s="124" t="str">
        <f t="shared" si="0"/>
        <v>VPT 5lg excl.bh incl.db</v>
      </c>
      <c r="B69" s="282" t="s">
        <v>156</v>
      </c>
      <c r="C69" s="120" t="s">
        <v>3225</v>
      </c>
      <c r="D69" s="434" t="str">
        <f t="shared" si="1"/>
        <v>V651 VPT 5lg excl.bh incl.db</v>
      </c>
      <c r="E69" s="122">
        <v>190.9997835789078</v>
      </c>
      <c r="F69" s="122">
        <v>8.889999999999997</v>
      </c>
      <c r="G69" s="122">
        <v>0.85</v>
      </c>
      <c r="H69" s="122">
        <v>0</v>
      </c>
      <c r="I69" s="128">
        <v>200.73978357890778</v>
      </c>
    </row>
    <row r="70" spans="1:9" x14ac:dyDescent="0.25">
      <c r="A70" s="124" t="str">
        <f t="shared" si="0"/>
        <v>VPT 6lg excl.bh incl.db</v>
      </c>
      <c r="B70" s="282" t="s">
        <v>364</v>
      </c>
      <c r="C70" s="120" t="s">
        <v>3226</v>
      </c>
      <c r="D70" s="434" t="str">
        <f t="shared" si="1"/>
        <v>V661 VPT 6lg excl.bh incl.db</v>
      </c>
      <c r="E70" s="122">
        <v>233.87635082370002</v>
      </c>
      <c r="F70" s="122">
        <v>10.79</v>
      </c>
      <c r="G70" s="122">
        <v>0.85</v>
      </c>
      <c r="H70" s="122">
        <v>0</v>
      </c>
      <c r="I70" s="128">
        <v>245.51635082370001</v>
      </c>
    </row>
    <row r="71" spans="1:9" x14ac:dyDescent="0.25">
      <c r="A71" s="124" t="str">
        <f t="shared" ref="A71:A134" si="2">SUBSTITUTE(C71,"ZZP","VPT")</f>
        <v>VPT 7lg excl.bh incl.db</v>
      </c>
      <c r="B71" s="282" t="s">
        <v>68</v>
      </c>
      <c r="C71" s="120" t="s">
        <v>3227</v>
      </c>
      <c r="D71" s="434" t="str">
        <f t="shared" ref="D71:D134" si="3">CONCATENATE(B71," ",A71)</f>
        <v>V671 VPT 7lg excl.bh incl.db</v>
      </c>
      <c r="E71" s="122">
        <v>262.14000006019205</v>
      </c>
      <c r="F71" s="122">
        <v>10.79</v>
      </c>
      <c r="G71" s="122">
        <v>0.85</v>
      </c>
      <c r="H71" s="122">
        <v>0</v>
      </c>
      <c r="I71" s="128">
        <v>273.78000006019209</v>
      </c>
    </row>
    <row r="72" spans="1:9" x14ac:dyDescent="0.25">
      <c r="A72" s="124" t="str">
        <f t="shared" si="2"/>
        <v>VPT 3lg incl.bh excl.db</v>
      </c>
      <c r="B72" s="282" t="s">
        <v>181</v>
      </c>
      <c r="C72" s="120" t="s">
        <v>3228</v>
      </c>
      <c r="D72" s="434" t="str">
        <f t="shared" si="3"/>
        <v>V632 VPT 3lg incl.bh excl.db</v>
      </c>
      <c r="E72" s="122">
        <v>113.98401609027584</v>
      </c>
      <c r="F72" s="122">
        <v>0</v>
      </c>
      <c r="G72" s="122">
        <v>0</v>
      </c>
      <c r="H72" s="122">
        <v>0</v>
      </c>
      <c r="I72" s="128">
        <v>113.98401609027584</v>
      </c>
    </row>
    <row r="73" spans="1:9" x14ac:dyDescent="0.25">
      <c r="A73" s="124" t="str">
        <f t="shared" si="2"/>
        <v>VPT 4lg incl.bh excl.db</v>
      </c>
      <c r="B73" s="282" t="s">
        <v>233</v>
      </c>
      <c r="C73" s="120" t="s">
        <v>3229</v>
      </c>
      <c r="D73" s="434" t="str">
        <f t="shared" si="3"/>
        <v>V642 VPT 4lg incl.bh excl.db</v>
      </c>
      <c r="E73" s="122">
        <v>178.61620771845716</v>
      </c>
      <c r="F73" s="122">
        <v>0</v>
      </c>
      <c r="G73" s="122">
        <v>0</v>
      </c>
      <c r="H73" s="122">
        <v>0</v>
      </c>
      <c r="I73" s="128">
        <v>178.61620771845716</v>
      </c>
    </row>
    <row r="74" spans="1:9" x14ac:dyDescent="0.25">
      <c r="A74" s="124" t="str">
        <f t="shared" si="2"/>
        <v>VPT 5lg incl.bh excl.db</v>
      </c>
      <c r="B74" s="282" t="s">
        <v>155</v>
      </c>
      <c r="C74" s="120" t="s">
        <v>3230</v>
      </c>
      <c r="D74" s="434" t="str">
        <f t="shared" si="3"/>
        <v>V652 VPT 5lg incl.bh excl.db</v>
      </c>
      <c r="E74" s="122">
        <v>181.07415678270959</v>
      </c>
      <c r="F74" s="122">
        <v>0</v>
      </c>
      <c r="G74" s="122">
        <v>0</v>
      </c>
      <c r="H74" s="122">
        <v>0</v>
      </c>
      <c r="I74" s="128">
        <v>181.07415678270959</v>
      </c>
    </row>
    <row r="75" spans="1:9" x14ac:dyDescent="0.25">
      <c r="A75" s="124" t="str">
        <f t="shared" si="2"/>
        <v>VPT 6lg incl.bh excl.db</v>
      </c>
      <c r="B75" s="282" t="s">
        <v>380</v>
      </c>
      <c r="C75" s="120" t="s">
        <v>3231</v>
      </c>
      <c r="D75" s="434" t="str">
        <f t="shared" si="3"/>
        <v>V662 VPT 6lg incl.bh excl.db</v>
      </c>
      <c r="E75" s="122">
        <v>250.41121228386868</v>
      </c>
      <c r="F75" s="122">
        <v>0</v>
      </c>
      <c r="G75" s="122">
        <v>0</v>
      </c>
      <c r="H75" s="122">
        <v>0</v>
      </c>
      <c r="I75" s="128">
        <v>250.41121228386868</v>
      </c>
    </row>
    <row r="76" spans="1:9" x14ac:dyDescent="0.25">
      <c r="A76" s="124" t="str">
        <f t="shared" si="2"/>
        <v>VPT 7lg incl.bh excl.db</v>
      </c>
      <c r="B76" s="282" t="s">
        <v>178</v>
      </c>
      <c r="C76" s="120" t="s">
        <v>3232</v>
      </c>
      <c r="D76" s="434" t="str">
        <f t="shared" si="3"/>
        <v>V672 VPT 7lg incl.bh excl.db</v>
      </c>
      <c r="E76" s="122">
        <v>280.48510418164119</v>
      </c>
      <c r="F76" s="122">
        <v>0</v>
      </c>
      <c r="G76" s="122">
        <v>0</v>
      </c>
      <c r="H76" s="122">
        <v>0</v>
      </c>
      <c r="I76" s="128">
        <v>280.48510418164119</v>
      </c>
    </row>
    <row r="77" spans="1:9" x14ac:dyDescent="0.25">
      <c r="A77" s="124" t="str">
        <f t="shared" si="2"/>
        <v>VPT 3lg incl.bh incl.db</v>
      </c>
      <c r="B77" s="282" t="s">
        <v>301</v>
      </c>
      <c r="C77" s="120" t="s">
        <v>3233</v>
      </c>
      <c r="D77" s="434" t="str">
        <f t="shared" si="3"/>
        <v>V633 VPT 3lg incl.bh incl.db</v>
      </c>
      <c r="E77" s="122">
        <v>161.07794389718569</v>
      </c>
      <c r="F77" s="122">
        <v>7.4699999999999989</v>
      </c>
      <c r="G77" s="122">
        <v>1.47</v>
      </c>
      <c r="H77" s="122">
        <v>0</v>
      </c>
      <c r="I77" s="128">
        <v>170.01794389718569</v>
      </c>
    </row>
    <row r="78" spans="1:9" x14ac:dyDescent="0.25">
      <c r="A78" s="124" t="str">
        <f t="shared" si="2"/>
        <v>VPT 4lg incl.bh incl.db</v>
      </c>
      <c r="B78" s="282" t="s">
        <v>273</v>
      </c>
      <c r="C78" s="120" t="s">
        <v>3234</v>
      </c>
      <c r="D78" s="434" t="str">
        <f t="shared" si="3"/>
        <v>V643 VPT 4lg incl.bh incl.db</v>
      </c>
      <c r="E78" s="122">
        <v>203.46177719969586</v>
      </c>
      <c r="F78" s="122">
        <v>7.4699999999999989</v>
      </c>
      <c r="G78" s="122">
        <v>1.47</v>
      </c>
      <c r="H78" s="122">
        <v>0</v>
      </c>
      <c r="I78" s="128">
        <v>212.40177719969586</v>
      </c>
    </row>
    <row r="79" spans="1:9" x14ac:dyDescent="0.25">
      <c r="A79" s="124" t="str">
        <f t="shared" si="2"/>
        <v>VPT 5lg incl.bh incl.db</v>
      </c>
      <c r="B79" s="282" t="s">
        <v>165</v>
      </c>
      <c r="C79" s="120" t="s">
        <v>3235</v>
      </c>
      <c r="D79" s="434" t="str">
        <f t="shared" si="3"/>
        <v>V653 VPT 5lg incl.bh incl.db</v>
      </c>
      <c r="E79" s="122">
        <v>227.35812003179637</v>
      </c>
      <c r="F79" s="122">
        <v>8.889999999999997</v>
      </c>
      <c r="G79" s="122">
        <v>0.85</v>
      </c>
      <c r="H79" s="122">
        <v>0</v>
      </c>
      <c r="I79" s="128">
        <v>237.09812003179636</v>
      </c>
    </row>
    <row r="80" spans="1:9" x14ac:dyDescent="0.25">
      <c r="A80" s="124" t="str">
        <f t="shared" si="2"/>
        <v>VPT 6lg incl.bh incl.db</v>
      </c>
      <c r="B80" s="282" t="s">
        <v>289</v>
      </c>
      <c r="C80" s="120" t="s">
        <v>3236</v>
      </c>
      <c r="D80" s="434" t="str">
        <f t="shared" si="3"/>
        <v>V663 VPT 6lg incl.bh incl.db</v>
      </c>
      <c r="E80" s="122">
        <v>285.93188949870438</v>
      </c>
      <c r="F80" s="122">
        <v>10.79</v>
      </c>
      <c r="G80" s="122">
        <v>0.85</v>
      </c>
      <c r="H80" s="122">
        <v>0</v>
      </c>
      <c r="I80" s="128">
        <v>297.57188949870442</v>
      </c>
    </row>
    <row r="81" spans="1:9" x14ac:dyDescent="0.25">
      <c r="A81" s="124" t="str">
        <f t="shared" si="2"/>
        <v>VPT 7lg incl.bh incl.db</v>
      </c>
      <c r="B81" s="282" t="s">
        <v>134</v>
      </c>
      <c r="C81" s="120" t="s">
        <v>3237</v>
      </c>
      <c r="D81" s="434" t="str">
        <f t="shared" si="3"/>
        <v>V673 VPT 7lg incl.bh incl.db</v>
      </c>
      <c r="E81" s="122">
        <v>297.28912643792484</v>
      </c>
      <c r="F81" s="122">
        <v>10.79</v>
      </c>
      <c r="G81" s="122">
        <v>0.85</v>
      </c>
      <c r="H81" s="122">
        <v>0</v>
      </c>
      <c r="I81" s="128">
        <v>308.92912643792488</v>
      </c>
    </row>
    <row r="82" spans="1:9" x14ac:dyDescent="0.25">
      <c r="A82" s="124" t="str">
        <f t="shared" si="2"/>
        <v>VPT 1zg-auditief excl.bh excl.db</v>
      </c>
      <c r="B82" s="282" t="s">
        <v>360</v>
      </c>
      <c r="C82" s="120" t="s">
        <v>3238</v>
      </c>
      <c r="D82" s="434" t="str">
        <f t="shared" si="3"/>
        <v>V710 VPT 1zg-auditief excl.bh excl.db</v>
      </c>
      <c r="E82" s="122">
        <v>135.04180612422513</v>
      </c>
      <c r="F82" s="122">
        <v>0</v>
      </c>
      <c r="G82" s="122">
        <v>0</v>
      </c>
      <c r="H82" s="122">
        <v>0</v>
      </c>
      <c r="I82" s="128">
        <v>135.04180612422513</v>
      </c>
    </row>
    <row r="83" spans="1:9" x14ac:dyDescent="0.25">
      <c r="A83" s="124" t="str">
        <f t="shared" si="2"/>
        <v>VPT 2zg-auditief excl.bh excl.db</v>
      </c>
      <c r="B83" s="282" t="s">
        <v>173</v>
      </c>
      <c r="C83" s="120" t="s">
        <v>3239</v>
      </c>
      <c r="D83" s="434" t="str">
        <f t="shared" si="3"/>
        <v>V720 VPT 2zg-auditief excl.bh excl.db</v>
      </c>
      <c r="E83" s="122">
        <v>275.89979500224422</v>
      </c>
      <c r="F83" s="122">
        <v>0</v>
      </c>
      <c r="G83" s="122">
        <v>0</v>
      </c>
      <c r="H83" s="122">
        <v>0</v>
      </c>
      <c r="I83" s="128">
        <v>275.89979500224422</v>
      </c>
    </row>
    <row r="84" spans="1:9" x14ac:dyDescent="0.25">
      <c r="A84" s="124" t="str">
        <f t="shared" si="2"/>
        <v>VPT 3zg-auditief excl.bh excl.db</v>
      </c>
      <c r="B84" s="282" t="s">
        <v>195</v>
      </c>
      <c r="C84" s="120" t="s">
        <v>3240</v>
      </c>
      <c r="D84" s="434" t="str">
        <f t="shared" si="3"/>
        <v>V730 VPT 3zg-auditief excl.bh excl.db</v>
      </c>
      <c r="E84" s="122">
        <v>315.84149111145734</v>
      </c>
      <c r="F84" s="122">
        <v>0</v>
      </c>
      <c r="G84" s="122">
        <v>0</v>
      </c>
      <c r="H84" s="122">
        <v>0</v>
      </c>
      <c r="I84" s="128">
        <v>315.84149111145734</v>
      </c>
    </row>
    <row r="85" spans="1:9" x14ac:dyDescent="0.25">
      <c r="A85" s="124" t="str">
        <f t="shared" si="2"/>
        <v>VPT 4zg-auditief excl.bh excl.db</v>
      </c>
      <c r="B85" s="282" t="s">
        <v>190</v>
      </c>
      <c r="C85" s="120" t="s">
        <v>3241</v>
      </c>
      <c r="D85" s="434" t="str">
        <f t="shared" si="3"/>
        <v>V740 VPT 4zg-auditief excl.bh excl.db</v>
      </c>
      <c r="E85" s="122">
        <v>162.69999999999999</v>
      </c>
      <c r="F85" s="122">
        <v>0</v>
      </c>
      <c r="G85" s="122">
        <v>0</v>
      </c>
      <c r="H85" s="122">
        <v>0</v>
      </c>
      <c r="I85" s="128">
        <v>162.69999999999999</v>
      </c>
    </row>
    <row r="86" spans="1:9" x14ac:dyDescent="0.25">
      <c r="A86" s="124" t="str">
        <f t="shared" si="2"/>
        <v>VPT 1zg-auditief excl.bh incl.db</v>
      </c>
      <c r="B86" s="282" t="s">
        <v>65</v>
      </c>
      <c r="C86" s="120" t="s">
        <v>3242</v>
      </c>
      <c r="D86" s="434" t="str">
        <f t="shared" si="3"/>
        <v>V711 VPT 1zg-auditief excl.bh incl.db</v>
      </c>
      <c r="E86" s="122">
        <v>165.14595713082923</v>
      </c>
      <c r="F86" s="122">
        <v>7.4699999999999989</v>
      </c>
      <c r="G86" s="122">
        <v>1.24</v>
      </c>
      <c r="H86" s="122">
        <v>0</v>
      </c>
      <c r="I86" s="128">
        <v>173.85595713082924</v>
      </c>
    </row>
    <row r="87" spans="1:9" x14ac:dyDescent="0.25">
      <c r="A87" s="124" t="str">
        <f t="shared" si="2"/>
        <v>VPT 2zg-auditief excl.bh incl.db</v>
      </c>
      <c r="B87" s="282" t="s">
        <v>88</v>
      </c>
      <c r="C87" s="120" t="s">
        <v>3243</v>
      </c>
      <c r="D87" s="434" t="str">
        <f t="shared" si="3"/>
        <v>V721 VPT 2zg-auditief excl.bh incl.db</v>
      </c>
      <c r="E87" s="122">
        <v>316.9515140437336</v>
      </c>
      <c r="F87" s="122">
        <v>7.4699999999999989</v>
      </c>
      <c r="G87" s="122">
        <v>1.24</v>
      </c>
      <c r="H87" s="122">
        <v>0</v>
      </c>
      <c r="I87" s="128">
        <v>325.66151404373363</v>
      </c>
    </row>
    <row r="88" spans="1:9" x14ac:dyDescent="0.25">
      <c r="A88" s="124" t="str">
        <f t="shared" si="2"/>
        <v>VPT 3zg-auditief excl.bh incl.db</v>
      </c>
      <c r="B88" s="282" t="s">
        <v>325</v>
      </c>
      <c r="C88" s="120" t="s">
        <v>3244</v>
      </c>
      <c r="D88" s="434" t="str">
        <f t="shared" si="3"/>
        <v>V731 VPT 3zg-auditief excl.bh incl.db</v>
      </c>
      <c r="E88" s="122">
        <v>348.70448837101065</v>
      </c>
      <c r="F88" s="122">
        <v>8.8999999999999986</v>
      </c>
      <c r="G88" s="122">
        <v>1.24</v>
      </c>
      <c r="H88" s="122">
        <v>0</v>
      </c>
      <c r="I88" s="128">
        <v>358.84448837101064</v>
      </c>
    </row>
    <row r="89" spans="1:9" x14ac:dyDescent="0.25">
      <c r="A89" s="124" t="str">
        <f t="shared" si="2"/>
        <v>VPT 4zg-auditief excl.bh incl.db</v>
      </c>
      <c r="B89" s="282" t="s">
        <v>264</v>
      </c>
      <c r="C89" s="120" t="s">
        <v>3245</v>
      </c>
      <c r="D89" s="434" t="str">
        <f t="shared" si="3"/>
        <v>V741 VPT 4zg-auditief excl.bh incl.db</v>
      </c>
      <c r="E89" s="122">
        <v>217.08</v>
      </c>
      <c r="F89" s="122">
        <v>7.4699999999999989</v>
      </c>
      <c r="G89" s="122">
        <v>1.24</v>
      </c>
      <c r="H89" s="122">
        <v>0</v>
      </c>
      <c r="I89" s="128">
        <v>225.79000000000002</v>
      </c>
    </row>
    <row r="90" spans="1:9" x14ac:dyDescent="0.25">
      <c r="A90" s="124" t="str">
        <f t="shared" si="2"/>
        <v>VPT 1zg-auditief incl.bh excl.db</v>
      </c>
      <c r="B90" s="282" t="s">
        <v>307</v>
      </c>
      <c r="C90" s="120" t="s">
        <v>3246</v>
      </c>
      <c r="D90" s="434" t="str">
        <f t="shared" si="3"/>
        <v>V712 VPT 1zg-auditief incl.bh excl.db</v>
      </c>
      <c r="E90" s="122">
        <v>127.50588740432228</v>
      </c>
      <c r="F90" s="122">
        <v>0</v>
      </c>
      <c r="G90" s="122">
        <v>0</v>
      </c>
      <c r="H90" s="122">
        <v>0</v>
      </c>
      <c r="I90" s="128">
        <v>127.50588740432228</v>
      </c>
    </row>
    <row r="91" spans="1:9" x14ac:dyDescent="0.25">
      <c r="A91" s="124" t="str">
        <f t="shared" si="2"/>
        <v>VPT 2zg-auditief incl.bh excl.db</v>
      </c>
      <c r="B91" s="282" t="s">
        <v>227</v>
      </c>
      <c r="C91" s="120" t="s">
        <v>3247</v>
      </c>
      <c r="D91" s="434" t="str">
        <f t="shared" si="3"/>
        <v>V722 VPT 2zg-auditief incl.bh excl.db</v>
      </c>
      <c r="E91" s="122">
        <v>280.23480789127456</v>
      </c>
      <c r="F91" s="122">
        <v>0</v>
      </c>
      <c r="G91" s="122">
        <v>0</v>
      </c>
      <c r="H91" s="122">
        <v>0</v>
      </c>
      <c r="I91" s="128">
        <v>280.23480789127456</v>
      </c>
    </row>
    <row r="92" spans="1:9" x14ac:dyDescent="0.25">
      <c r="A92" s="124" t="str">
        <f t="shared" si="2"/>
        <v>VPT 3zg-auditief incl.bh excl.db</v>
      </c>
      <c r="B92" s="282" t="s">
        <v>103</v>
      </c>
      <c r="C92" s="120" t="s">
        <v>3248</v>
      </c>
      <c r="D92" s="434" t="str">
        <f t="shared" si="3"/>
        <v>V732 VPT 3zg-auditief incl.bh excl.db</v>
      </c>
      <c r="E92" s="122">
        <v>322.12713810594664</v>
      </c>
      <c r="F92" s="122">
        <v>0</v>
      </c>
      <c r="G92" s="122">
        <v>0</v>
      </c>
      <c r="H92" s="122">
        <v>0</v>
      </c>
      <c r="I92" s="128">
        <v>322.12713810594664</v>
      </c>
    </row>
    <row r="93" spans="1:9" x14ac:dyDescent="0.25">
      <c r="A93" s="124" t="str">
        <f t="shared" si="2"/>
        <v>VPT 4zg-auditief incl.bh excl.db</v>
      </c>
      <c r="B93" s="282" t="s">
        <v>376</v>
      </c>
      <c r="C93" s="120" t="s">
        <v>3249</v>
      </c>
      <c r="D93" s="434" t="str">
        <f t="shared" si="3"/>
        <v>V742 VPT 4zg-auditief incl.bh excl.db</v>
      </c>
      <c r="E93" s="122">
        <v>186.02</v>
      </c>
      <c r="F93" s="122">
        <v>0</v>
      </c>
      <c r="G93" s="122">
        <v>0</v>
      </c>
      <c r="H93" s="122">
        <v>0</v>
      </c>
      <c r="I93" s="128">
        <v>186.02</v>
      </c>
    </row>
    <row r="94" spans="1:9" x14ac:dyDescent="0.25">
      <c r="A94" s="124" t="str">
        <f t="shared" si="2"/>
        <v>VPT 1zg-auditief incl.bh incl.db</v>
      </c>
      <c r="B94" s="282" t="s">
        <v>57</v>
      </c>
      <c r="C94" s="120" t="s">
        <v>3250</v>
      </c>
      <c r="D94" s="434" t="str">
        <f t="shared" si="3"/>
        <v>V713 VPT 1zg-auditief incl.bh incl.db</v>
      </c>
      <c r="E94" s="122">
        <v>172.56969869813094</v>
      </c>
      <c r="F94" s="122">
        <v>7.4699999999999989</v>
      </c>
      <c r="G94" s="122">
        <v>1.24</v>
      </c>
      <c r="H94" s="122">
        <v>0</v>
      </c>
      <c r="I94" s="128">
        <v>181.27969869813094</v>
      </c>
    </row>
    <row r="95" spans="1:9" x14ac:dyDescent="0.25">
      <c r="A95" s="124" t="str">
        <f t="shared" si="2"/>
        <v>VPT 2zg-auditief incl.bh incl.db</v>
      </c>
      <c r="B95" s="282" t="s">
        <v>186</v>
      </c>
      <c r="C95" s="120" t="s">
        <v>3251</v>
      </c>
      <c r="D95" s="434" t="str">
        <f t="shared" si="3"/>
        <v>V723 VPT 2zg-auditief incl.bh incl.db</v>
      </c>
      <c r="E95" s="122">
        <v>349.01230033712068</v>
      </c>
      <c r="F95" s="122">
        <v>7.4699999999999989</v>
      </c>
      <c r="G95" s="122">
        <v>1.24</v>
      </c>
      <c r="H95" s="122">
        <v>0</v>
      </c>
      <c r="I95" s="128">
        <v>357.72230033712071</v>
      </c>
    </row>
    <row r="96" spans="1:9" x14ac:dyDescent="0.25">
      <c r="A96" s="124" t="str">
        <f t="shared" si="2"/>
        <v>VPT 3zg-auditief incl.bh incl.db</v>
      </c>
      <c r="B96" s="282" t="s">
        <v>124</v>
      </c>
      <c r="C96" s="120" t="s">
        <v>3252</v>
      </c>
      <c r="D96" s="434" t="str">
        <f t="shared" si="3"/>
        <v>V733 VPT 3zg-auditief incl.bh incl.db</v>
      </c>
      <c r="E96" s="122">
        <v>412.04580807984308</v>
      </c>
      <c r="F96" s="122">
        <v>8.8999999999999986</v>
      </c>
      <c r="G96" s="122">
        <v>1.24</v>
      </c>
      <c r="H96" s="122">
        <v>0</v>
      </c>
      <c r="I96" s="128">
        <v>422.18580807984307</v>
      </c>
    </row>
    <row r="97" spans="1:9" x14ac:dyDescent="0.25">
      <c r="A97" s="124" t="str">
        <f t="shared" si="2"/>
        <v>VPT 4zg-auditief incl.bh incl.db</v>
      </c>
      <c r="B97" s="282" t="s">
        <v>336</v>
      </c>
      <c r="C97" s="120" t="s">
        <v>3253</v>
      </c>
      <c r="D97" s="434" t="str">
        <f t="shared" si="3"/>
        <v>V743 VPT 4zg-auditief incl.bh incl.db</v>
      </c>
      <c r="E97" s="122">
        <v>240.39</v>
      </c>
      <c r="F97" s="122">
        <v>7.4699999999999989</v>
      </c>
      <c r="G97" s="122">
        <v>1.24</v>
      </c>
      <c r="H97" s="122">
        <v>0</v>
      </c>
      <c r="I97" s="128">
        <v>249.1</v>
      </c>
    </row>
    <row r="98" spans="1:9" x14ac:dyDescent="0.25">
      <c r="A98" s="124" t="str">
        <f t="shared" si="2"/>
        <v>VPT 1zg-visueel excl.bh excl.db</v>
      </c>
      <c r="B98" s="282" t="s">
        <v>113</v>
      </c>
      <c r="C98" s="120" t="s">
        <v>3575</v>
      </c>
      <c r="D98" s="434" t="str">
        <f t="shared" si="3"/>
        <v>V814 VPT 1zg-visueel excl.bh excl.db</v>
      </c>
      <c r="E98" s="122">
        <v>74.63</v>
      </c>
      <c r="F98" s="122">
        <v>0</v>
      </c>
      <c r="G98" s="122">
        <v>0</v>
      </c>
      <c r="H98" s="122">
        <v>0</v>
      </c>
      <c r="I98" s="128">
        <v>74.63</v>
      </c>
    </row>
    <row r="99" spans="1:9" x14ac:dyDescent="0.25">
      <c r="A99" s="124" t="str">
        <f t="shared" si="2"/>
        <v>VPT 2zg-visueel excl.bh excl.db</v>
      </c>
      <c r="B99" s="282" t="s">
        <v>200</v>
      </c>
      <c r="C99" s="120" t="s">
        <v>3576</v>
      </c>
      <c r="D99" s="434" t="str">
        <f t="shared" si="3"/>
        <v>V824 VPT 2zg-visueel excl.bh excl.db</v>
      </c>
      <c r="E99" s="122">
        <v>110.64</v>
      </c>
      <c r="F99" s="122">
        <v>0</v>
      </c>
      <c r="G99" s="122">
        <v>0</v>
      </c>
      <c r="H99" s="122">
        <v>0</v>
      </c>
      <c r="I99" s="128">
        <v>110.64</v>
      </c>
    </row>
    <row r="100" spans="1:9" x14ac:dyDescent="0.25">
      <c r="A100" s="124" t="str">
        <f t="shared" si="2"/>
        <v>VPT 1zg-visueel excl.bh incl.db</v>
      </c>
      <c r="B100" s="282" t="s">
        <v>344</v>
      </c>
      <c r="C100" s="120" t="s">
        <v>3577</v>
      </c>
      <c r="D100" s="434" t="str">
        <f t="shared" si="3"/>
        <v>V815 VPT 1zg-visueel excl.bh incl.db</v>
      </c>
      <c r="E100" s="122">
        <v>119.94</v>
      </c>
      <c r="F100" s="122">
        <v>7.4699999999999989</v>
      </c>
      <c r="G100" s="122">
        <v>1.24</v>
      </c>
      <c r="H100" s="122">
        <v>0</v>
      </c>
      <c r="I100" s="128">
        <v>128.65</v>
      </c>
    </row>
    <row r="101" spans="1:9" x14ac:dyDescent="0.25">
      <c r="A101" s="124" t="str">
        <f t="shared" si="2"/>
        <v>VPT 2zg-visueel excl.bh incl.db</v>
      </c>
      <c r="B101" s="282" t="s">
        <v>248</v>
      </c>
      <c r="C101" s="120" t="s">
        <v>3578</v>
      </c>
      <c r="D101" s="434" t="str">
        <f t="shared" si="3"/>
        <v>V825 VPT 2zg-visueel excl.bh incl.db</v>
      </c>
      <c r="E101" s="122">
        <v>148.41</v>
      </c>
      <c r="F101" s="122">
        <v>7.4699999999999989</v>
      </c>
      <c r="G101" s="122">
        <v>1.24</v>
      </c>
      <c r="H101" s="122">
        <v>0</v>
      </c>
      <c r="I101" s="128">
        <v>157.12</v>
      </c>
    </row>
    <row r="102" spans="1:9" x14ac:dyDescent="0.25">
      <c r="A102" s="124" t="str">
        <f t="shared" si="2"/>
        <v>VPT 3zg-visueel excl.bh excl.db</v>
      </c>
      <c r="B102" s="282" t="s">
        <v>224</v>
      </c>
      <c r="C102" s="120" t="s">
        <v>3258</v>
      </c>
      <c r="D102" s="434" t="str">
        <f t="shared" si="3"/>
        <v>V830 VPT 3zg-visueel excl.bh excl.db</v>
      </c>
      <c r="E102" s="122">
        <v>135.34</v>
      </c>
      <c r="F102" s="122">
        <v>0</v>
      </c>
      <c r="G102" s="122">
        <v>0</v>
      </c>
      <c r="H102" s="122">
        <v>0</v>
      </c>
      <c r="I102" s="128">
        <v>135.34</v>
      </c>
    </row>
    <row r="103" spans="1:9" x14ac:dyDescent="0.25">
      <c r="A103" s="124" t="str">
        <f t="shared" si="2"/>
        <v>VPT 4zg-visueel excl.bh excl.db</v>
      </c>
      <c r="B103" s="282" t="s">
        <v>304</v>
      </c>
      <c r="C103" s="120" t="s">
        <v>3259</v>
      </c>
      <c r="D103" s="434" t="str">
        <f t="shared" si="3"/>
        <v>V840 VPT 4zg-visueel excl.bh excl.db</v>
      </c>
      <c r="E103" s="122">
        <v>171.65</v>
      </c>
      <c r="F103" s="122">
        <v>0</v>
      </c>
      <c r="G103" s="122">
        <v>0</v>
      </c>
      <c r="H103" s="122">
        <v>0</v>
      </c>
      <c r="I103" s="128">
        <v>171.65</v>
      </c>
    </row>
    <row r="104" spans="1:9" x14ac:dyDescent="0.25">
      <c r="A104" s="124" t="str">
        <f t="shared" si="2"/>
        <v>VPT 5zg-visueel excl.bh excl.db</v>
      </c>
      <c r="B104" s="282" t="s">
        <v>285</v>
      </c>
      <c r="C104" s="120" t="s">
        <v>3260</v>
      </c>
      <c r="D104" s="434" t="str">
        <f t="shared" si="3"/>
        <v>V850 VPT 5zg-visueel excl.bh excl.db</v>
      </c>
      <c r="E104" s="122">
        <v>188.72</v>
      </c>
      <c r="F104" s="122">
        <v>0</v>
      </c>
      <c r="G104" s="122">
        <v>0</v>
      </c>
      <c r="H104" s="122">
        <v>0</v>
      </c>
      <c r="I104" s="128">
        <v>188.72</v>
      </c>
    </row>
    <row r="105" spans="1:9" x14ac:dyDescent="0.25">
      <c r="A105" s="124" t="str">
        <f t="shared" si="2"/>
        <v>VPT 3zg-visueel excl.bh incl.db</v>
      </c>
      <c r="B105" s="282" t="s">
        <v>99</v>
      </c>
      <c r="C105" s="120" t="s">
        <v>3261</v>
      </c>
      <c r="D105" s="434" t="str">
        <f t="shared" si="3"/>
        <v>V831 VPT 3zg-visueel excl.bh incl.db</v>
      </c>
      <c r="E105" s="122">
        <v>173.1</v>
      </c>
      <c r="F105" s="122">
        <v>7.4699999999999989</v>
      </c>
      <c r="G105" s="122">
        <v>1.24</v>
      </c>
      <c r="H105" s="122">
        <v>0</v>
      </c>
      <c r="I105" s="128">
        <v>181.81</v>
      </c>
    </row>
    <row r="106" spans="1:9" x14ac:dyDescent="0.25">
      <c r="A106" s="124" t="str">
        <f t="shared" si="2"/>
        <v>VPT 4zg-visueel excl.bh incl.db</v>
      </c>
      <c r="B106" s="282" t="s">
        <v>203</v>
      </c>
      <c r="C106" s="120" t="s">
        <v>3262</v>
      </c>
      <c r="D106" s="434" t="str">
        <f t="shared" si="3"/>
        <v>V841 VPT 4zg-visueel excl.bh incl.db</v>
      </c>
      <c r="E106" s="122">
        <v>222.62</v>
      </c>
      <c r="F106" s="122">
        <v>8.889999999999997</v>
      </c>
      <c r="G106" s="122">
        <v>1.24</v>
      </c>
      <c r="H106" s="122">
        <v>0</v>
      </c>
      <c r="I106" s="128">
        <v>232.75</v>
      </c>
    </row>
    <row r="107" spans="1:9" x14ac:dyDescent="0.25">
      <c r="A107" s="124" t="str">
        <f t="shared" si="2"/>
        <v>VPT 5zg-visueel excl.bh incl.db</v>
      </c>
      <c r="B107" s="282" t="s">
        <v>356</v>
      </c>
      <c r="C107" s="120" t="s">
        <v>3263</v>
      </c>
      <c r="D107" s="434" t="str">
        <f t="shared" si="3"/>
        <v>V851 VPT 5zg-visueel excl.bh incl.db</v>
      </c>
      <c r="E107" s="122">
        <v>239.69</v>
      </c>
      <c r="F107" s="122">
        <v>10.79</v>
      </c>
      <c r="G107" s="122">
        <v>1.24</v>
      </c>
      <c r="H107" s="122">
        <v>0</v>
      </c>
      <c r="I107" s="128">
        <v>251.72</v>
      </c>
    </row>
    <row r="108" spans="1:9" x14ac:dyDescent="0.25">
      <c r="A108" s="124" t="str">
        <f t="shared" si="2"/>
        <v>VPT 3zg-visueel incl.bh excl.db</v>
      </c>
      <c r="B108" s="282" t="s">
        <v>286</v>
      </c>
      <c r="C108" s="120" t="s">
        <v>3264</v>
      </c>
      <c r="D108" s="434" t="str">
        <f t="shared" si="3"/>
        <v>V832 VPT 3zg-visueel incl.bh excl.db</v>
      </c>
      <c r="E108" s="122">
        <v>149.32</v>
      </c>
      <c r="F108" s="122">
        <v>0</v>
      </c>
      <c r="G108" s="122">
        <v>0</v>
      </c>
      <c r="H108" s="122">
        <v>0</v>
      </c>
      <c r="I108" s="128">
        <v>149.32</v>
      </c>
    </row>
    <row r="109" spans="1:9" x14ac:dyDescent="0.25">
      <c r="A109" s="124" t="str">
        <f t="shared" si="2"/>
        <v>VPT 4zg-visueel incl.bh excl.db</v>
      </c>
      <c r="B109" s="282" t="s">
        <v>58</v>
      </c>
      <c r="C109" s="120" t="s">
        <v>3265</v>
      </c>
      <c r="D109" s="434" t="str">
        <f t="shared" si="3"/>
        <v>V842 VPT 4zg-visueel incl.bh excl.db</v>
      </c>
      <c r="E109" s="122">
        <v>189.53</v>
      </c>
      <c r="F109" s="122">
        <v>0</v>
      </c>
      <c r="G109" s="122">
        <v>0</v>
      </c>
      <c r="H109" s="122">
        <v>0</v>
      </c>
      <c r="I109" s="128">
        <v>189.53</v>
      </c>
    </row>
    <row r="110" spans="1:9" x14ac:dyDescent="0.25">
      <c r="A110" s="124" t="str">
        <f t="shared" si="2"/>
        <v>VPT 5zg-visueel incl.bh excl.db</v>
      </c>
      <c r="B110" s="282" t="s">
        <v>258</v>
      </c>
      <c r="C110" s="120" t="s">
        <v>3266</v>
      </c>
      <c r="D110" s="434" t="str">
        <f t="shared" si="3"/>
        <v>V852 VPT 5zg-visueel incl.bh excl.db</v>
      </c>
      <c r="E110" s="122">
        <v>210.91</v>
      </c>
      <c r="F110" s="122">
        <v>0</v>
      </c>
      <c r="G110" s="122">
        <v>0</v>
      </c>
      <c r="H110" s="122">
        <v>0</v>
      </c>
      <c r="I110" s="128">
        <v>210.91</v>
      </c>
    </row>
    <row r="111" spans="1:9" x14ac:dyDescent="0.25">
      <c r="A111" s="124" t="str">
        <f t="shared" si="2"/>
        <v>VPT 3zg-visueel incl.bh incl.db</v>
      </c>
      <c r="B111" s="282" t="s">
        <v>292</v>
      </c>
      <c r="C111" s="120" t="s">
        <v>3267</v>
      </c>
      <c r="D111" s="434" t="str">
        <f t="shared" si="3"/>
        <v>V833 VPT 3zg-visueel incl.bh incl.db</v>
      </c>
      <c r="E111" s="122">
        <v>187.1</v>
      </c>
      <c r="F111" s="122">
        <v>7.4699999999999989</v>
      </c>
      <c r="G111" s="122">
        <v>1.24</v>
      </c>
      <c r="H111" s="122">
        <v>0</v>
      </c>
      <c r="I111" s="128">
        <v>195.81</v>
      </c>
    </row>
    <row r="112" spans="1:9" x14ac:dyDescent="0.25">
      <c r="A112" s="124" t="str">
        <f t="shared" si="2"/>
        <v>VPT 4zg-visueel incl.bh incl.db</v>
      </c>
      <c r="B112" s="282" t="s">
        <v>138</v>
      </c>
      <c r="C112" s="120" t="s">
        <v>3268</v>
      </c>
      <c r="D112" s="434" t="str">
        <f t="shared" si="3"/>
        <v>V843 VPT 4zg-visueel incl.bh incl.db</v>
      </c>
      <c r="E112" s="122">
        <v>240.51</v>
      </c>
      <c r="F112" s="122">
        <v>8.889999999999997</v>
      </c>
      <c r="G112" s="122">
        <v>1.24</v>
      </c>
      <c r="H112" s="122">
        <v>0</v>
      </c>
      <c r="I112" s="128">
        <v>250.64</v>
      </c>
    </row>
    <row r="113" spans="1:9" x14ac:dyDescent="0.25">
      <c r="A113" s="124" t="str">
        <f t="shared" si="2"/>
        <v>VPT 5zg-visueel incl.bh incl.db</v>
      </c>
      <c r="B113" s="282" t="s">
        <v>179</v>
      </c>
      <c r="C113" s="120" t="s">
        <v>3269</v>
      </c>
      <c r="D113" s="434" t="str">
        <f t="shared" si="3"/>
        <v>V853 VPT 5zg-visueel incl.bh incl.db</v>
      </c>
      <c r="E113" s="122">
        <v>261.88</v>
      </c>
      <c r="F113" s="122">
        <v>10.79</v>
      </c>
      <c r="G113" s="122">
        <v>1.24</v>
      </c>
      <c r="H113" s="122">
        <v>0</v>
      </c>
      <c r="I113" s="128">
        <v>273.91000000000003</v>
      </c>
    </row>
    <row r="114" spans="1:9" x14ac:dyDescent="0.25">
      <c r="A114" s="124" t="str">
        <f t="shared" si="2"/>
        <v>Dagbesteding vg licht (vg1 en vg4)</v>
      </c>
      <c r="B114" s="282" t="s">
        <v>9</v>
      </c>
      <c r="C114" s="120" t="s">
        <v>3071</v>
      </c>
      <c r="D114" s="434" t="str">
        <f t="shared" si="3"/>
        <v>H900 Dagbesteding vg licht (vg1 en vg4)</v>
      </c>
      <c r="E114" s="122">
        <v>25.44393416171809</v>
      </c>
      <c r="F114" s="122">
        <v>5.83</v>
      </c>
      <c r="G114" s="122">
        <v>0.78</v>
      </c>
      <c r="H114" s="122">
        <v>0</v>
      </c>
      <c r="I114" s="128">
        <v>32.05393416171809</v>
      </c>
    </row>
    <row r="115" spans="1:9" x14ac:dyDescent="0.25">
      <c r="A115" s="124" t="str">
        <f t="shared" si="2"/>
        <v>Dagbesteding vg midden (vg5)</v>
      </c>
      <c r="B115" s="282" t="s">
        <v>3072</v>
      </c>
      <c r="C115" s="120" t="s">
        <v>3073</v>
      </c>
      <c r="D115" s="434" t="str">
        <f t="shared" si="3"/>
        <v>H903 Dagbesteding vg midden (vg5)</v>
      </c>
      <c r="E115" s="122">
        <v>40.677124736056157</v>
      </c>
      <c r="F115" s="122">
        <v>6.93</v>
      </c>
      <c r="G115" s="122">
        <v>0.86</v>
      </c>
      <c r="H115" s="122">
        <v>0</v>
      </c>
      <c r="I115" s="128">
        <v>48.467124736056157</v>
      </c>
    </row>
    <row r="116" spans="1:9" x14ac:dyDescent="0.25">
      <c r="A116" s="124" t="str">
        <f t="shared" si="2"/>
        <v>Dagbesteding vg midden (vg6)</v>
      </c>
      <c r="B116" s="282" t="s">
        <v>3074</v>
      </c>
      <c r="C116" s="120" t="s">
        <v>3075</v>
      </c>
      <c r="D116" s="434" t="str">
        <f t="shared" si="3"/>
        <v>H904 Dagbesteding vg midden (vg6)</v>
      </c>
      <c r="E116" s="122">
        <v>40.677124736056157</v>
      </c>
      <c r="F116" s="122">
        <v>6.93</v>
      </c>
      <c r="G116" s="122">
        <v>0.83</v>
      </c>
      <c r="H116" s="122">
        <v>0</v>
      </c>
      <c r="I116" s="128">
        <v>48.437124736056155</v>
      </c>
    </row>
    <row r="117" spans="1:9" x14ac:dyDescent="0.25">
      <c r="A117" s="124" t="str">
        <f t="shared" si="2"/>
        <v>Dagbesteding vg midden (vg8)</v>
      </c>
      <c r="B117" s="282" t="s">
        <v>3579</v>
      </c>
      <c r="C117" s="120" t="s">
        <v>3076</v>
      </c>
      <c r="D117" s="434" t="str">
        <f t="shared" si="3"/>
        <v>H906 Dagbesteding vg midden (vg8)</v>
      </c>
      <c r="E117" s="122">
        <v>77.732697241661839</v>
      </c>
      <c r="F117" s="122">
        <v>8.42</v>
      </c>
      <c r="G117" s="122">
        <v>0.67</v>
      </c>
      <c r="H117" s="122">
        <v>0</v>
      </c>
      <c r="I117" s="128">
        <v>86.822697241661842</v>
      </c>
    </row>
    <row r="118" spans="1:9" x14ac:dyDescent="0.25">
      <c r="A118" s="124" t="str">
        <f t="shared" si="2"/>
        <v>Dagbesteding vg zwaar (vg7)</v>
      </c>
      <c r="B118" s="282" t="s">
        <v>11</v>
      </c>
      <c r="C118" s="120" t="s">
        <v>3077</v>
      </c>
      <c r="D118" s="434" t="str">
        <f t="shared" si="3"/>
        <v>H902 Dagbesteding vg zwaar (vg7)</v>
      </c>
      <c r="E118" s="122">
        <v>77.732697241661839</v>
      </c>
      <c r="F118" s="122">
        <v>6.93</v>
      </c>
      <c r="G118" s="122">
        <v>0.84</v>
      </c>
      <c r="H118" s="122">
        <v>0</v>
      </c>
      <c r="I118" s="128">
        <v>85.502697241661849</v>
      </c>
    </row>
    <row r="119" spans="1:9" x14ac:dyDescent="0.25">
      <c r="A119" s="124" t="str">
        <f t="shared" si="2"/>
        <v>Dagbesteding lg licht (lg7)</v>
      </c>
      <c r="B119" s="282" t="s">
        <v>447</v>
      </c>
      <c r="C119" s="120" t="s">
        <v>3078</v>
      </c>
      <c r="D119" s="434" t="str">
        <f t="shared" si="3"/>
        <v>H910 Dagbesteding lg licht (lg7)</v>
      </c>
      <c r="E119" s="122">
        <v>36.321535323392936</v>
      </c>
      <c r="F119" s="122">
        <v>10.82</v>
      </c>
      <c r="G119" s="122">
        <v>0.86</v>
      </c>
      <c r="H119" s="122">
        <v>0</v>
      </c>
      <c r="I119" s="128">
        <v>48.001535323392936</v>
      </c>
    </row>
    <row r="120" spans="1:9" x14ac:dyDescent="0.25">
      <c r="A120" s="124" t="str">
        <f t="shared" si="2"/>
        <v>Dagbesteding lg midden (lg2 en lg4)</v>
      </c>
      <c r="B120" s="282" t="s">
        <v>3079</v>
      </c>
      <c r="C120" s="120" t="s">
        <v>3080</v>
      </c>
      <c r="D120" s="434" t="str">
        <f t="shared" si="3"/>
        <v>H913 Dagbesteding lg midden (lg2 en lg4)</v>
      </c>
      <c r="E120" s="122">
        <v>45.456643056089604</v>
      </c>
      <c r="F120" s="122">
        <v>7.49</v>
      </c>
      <c r="G120" s="122">
        <v>1.47</v>
      </c>
      <c r="H120" s="122">
        <v>0</v>
      </c>
      <c r="I120" s="128">
        <v>54.416643056089605</v>
      </c>
    </row>
    <row r="121" spans="1:9" x14ac:dyDescent="0.25">
      <c r="A121" s="124" t="str">
        <f t="shared" si="2"/>
        <v>Dagbesteding lg midden (lg6)</v>
      </c>
      <c r="B121" s="282" t="s">
        <v>3081</v>
      </c>
      <c r="C121" s="120" t="s">
        <v>3082</v>
      </c>
      <c r="D121" s="434" t="str">
        <f t="shared" si="3"/>
        <v>H914 Dagbesteding lg midden (lg6)</v>
      </c>
      <c r="E121" s="122">
        <v>45.456643056089604</v>
      </c>
      <c r="F121" s="122">
        <v>10.82</v>
      </c>
      <c r="G121" s="122">
        <v>0.86</v>
      </c>
      <c r="H121" s="122">
        <v>0</v>
      </c>
      <c r="I121" s="128">
        <v>57.136643056089603</v>
      </c>
    </row>
    <row r="122" spans="1:9" x14ac:dyDescent="0.25">
      <c r="A122" s="124" t="str">
        <f t="shared" si="2"/>
        <v>Dagbesteding lg zwaar (lg1 en lg3)</v>
      </c>
      <c r="B122" s="282" t="s">
        <v>3083</v>
      </c>
      <c r="C122" s="120" t="s">
        <v>3084</v>
      </c>
      <c r="D122" s="434" t="str">
        <f t="shared" si="3"/>
        <v>H915 Dagbesteding lg zwaar (lg1 en lg3)</v>
      </c>
      <c r="E122" s="122">
        <v>51.432359434763278</v>
      </c>
      <c r="F122" s="122">
        <v>7.49</v>
      </c>
      <c r="G122" s="122">
        <v>1.47</v>
      </c>
      <c r="H122" s="122">
        <v>0</v>
      </c>
      <c r="I122" s="128">
        <v>60.392359434763279</v>
      </c>
    </row>
    <row r="123" spans="1:9" x14ac:dyDescent="0.25">
      <c r="A123" s="124" t="str">
        <f t="shared" si="2"/>
        <v>Dagbesteding lg zwaar (lg5)</v>
      </c>
      <c r="B123" s="282" t="s">
        <v>3085</v>
      </c>
      <c r="C123" s="120" t="s">
        <v>3086</v>
      </c>
      <c r="D123" s="434" t="str">
        <f t="shared" si="3"/>
        <v>H916 Dagbesteding lg zwaar (lg5)</v>
      </c>
      <c r="E123" s="122">
        <v>51.432359434763278</v>
      </c>
      <c r="F123" s="122">
        <v>8.91</v>
      </c>
      <c r="G123" s="122">
        <v>0.86</v>
      </c>
      <c r="H123" s="122">
        <v>0</v>
      </c>
      <c r="I123" s="128">
        <v>61.202359434763281</v>
      </c>
    </row>
    <row r="124" spans="1:9" x14ac:dyDescent="0.25">
      <c r="A124" s="124" t="str">
        <f t="shared" si="2"/>
        <v>Dagbesteding zg aud licht (zg aud1 en zg aud4)</v>
      </c>
      <c r="B124" s="282" t="s">
        <v>467</v>
      </c>
      <c r="C124" s="120" t="s">
        <v>3087</v>
      </c>
      <c r="D124" s="434" t="str">
        <f t="shared" si="3"/>
        <v>H920 Dagbesteding zg aud licht (zg aud1 en zg aud4)</v>
      </c>
      <c r="E124" s="122">
        <v>40.620823833806696</v>
      </c>
      <c r="F124" s="122">
        <v>5.83</v>
      </c>
      <c r="G124" s="122">
        <v>0.97</v>
      </c>
      <c r="H124" s="122">
        <v>0</v>
      </c>
      <c r="I124" s="128">
        <v>47.420823833806693</v>
      </c>
    </row>
    <row r="125" spans="1:9" x14ac:dyDescent="0.25">
      <c r="A125" s="124" t="str">
        <f t="shared" si="2"/>
        <v>Dagbesteding zg aud midden (zg aud2)</v>
      </c>
      <c r="B125" s="282" t="s">
        <v>461</v>
      </c>
      <c r="C125" s="120" t="s">
        <v>3088</v>
      </c>
      <c r="D125" s="434" t="str">
        <f t="shared" si="3"/>
        <v>H921 Dagbesteding zg aud midden (zg aud2)</v>
      </c>
      <c r="E125" s="122">
        <v>51.62055928317352</v>
      </c>
      <c r="F125" s="122">
        <v>5.83</v>
      </c>
      <c r="G125" s="122">
        <v>0.97</v>
      </c>
      <c r="H125" s="122">
        <v>0</v>
      </c>
      <c r="I125" s="128">
        <v>58.420559283173517</v>
      </c>
    </row>
    <row r="126" spans="1:9" x14ac:dyDescent="0.25">
      <c r="A126" s="124" t="str">
        <f t="shared" si="2"/>
        <v>Dagbesteding zg aud zwaar (zg aud3)</v>
      </c>
      <c r="B126" s="282" t="s">
        <v>459</v>
      </c>
      <c r="C126" s="120" t="s">
        <v>3089</v>
      </c>
      <c r="D126" s="434" t="str">
        <f t="shared" si="3"/>
        <v>H922 Dagbesteding zg aud zwaar (zg aud3)</v>
      </c>
      <c r="E126" s="122">
        <v>63.793667658027445</v>
      </c>
      <c r="F126" s="122">
        <v>6.93</v>
      </c>
      <c r="G126" s="122">
        <v>0.97</v>
      </c>
      <c r="H126" s="122">
        <v>0</v>
      </c>
      <c r="I126" s="128">
        <v>71.693667658027437</v>
      </c>
    </row>
    <row r="127" spans="1:9" x14ac:dyDescent="0.25">
      <c r="A127" s="124" t="str">
        <f t="shared" si="2"/>
        <v>Dagbesteding zg vis licht (zg vis2 en zg vis3)</v>
      </c>
      <c r="B127" s="282" t="s">
        <v>476</v>
      </c>
      <c r="C127" s="120" t="s">
        <v>3090</v>
      </c>
      <c r="D127" s="434" t="str">
        <f t="shared" si="3"/>
        <v>H930 Dagbesteding zg vis licht (zg vis2 en zg vis3)</v>
      </c>
      <c r="E127" s="122">
        <v>29</v>
      </c>
      <c r="F127" s="122">
        <v>5.83</v>
      </c>
      <c r="G127" s="122">
        <v>0.97</v>
      </c>
      <c r="H127" s="122">
        <v>0</v>
      </c>
      <c r="I127" s="128">
        <v>35.799999999999997</v>
      </c>
    </row>
    <row r="128" spans="1:9" x14ac:dyDescent="0.25">
      <c r="A128" s="124" t="str">
        <f t="shared" si="2"/>
        <v>Dagbesteding zg vis midden (zg vis1)</v>
      </c>
      <c r="B128" s="282" t="s">
        <v>469</v>
      </c>
      <c r="C128" s="120" t="s">
        <v>3091</v>
      </c>
      <c r="D128" s="434" t="str">
        <f t="shared" si="3"/>
        <v>H931 Dagbesteding zg vis midden (zg vis1)</v>
      </c>
      <c r="E128" s="122">
        <v>34.81</v>
      </c>
      <c r="F128" s="122">
        <v>5.83</v>
      </c>
      <c r="G128" s="122">
        <v>0.97</v>
      </c>
      <c r="H128" s="122">
        <v>0</v>
      </c>
      <c r="I128" s="128">
        <v>41.61</v>
      </c>
    </row>
    <row r="129" spans="1:9" x14ac:dyDescent="0.25">
      <c r="A129" s="124" t="str">
        <f t="shared" si="2"/>
        <v>Dagbesteding zg vis zwaar (zg vis4)</v>
      </c>
      <c r="B129" s="282" t="s">
        <v>3092</v>
      </c>
      <c r="C129" s="120" t="s">
        <v>3093</v>
      </c>
      <c r="D129" s="434" t="str">
        <f t="shared" si="3"/>
        <v>H933 Dagbesteding zg vis zwaar (zg vis4)</v>
      </c>
      <c r="E129" s="122">
        <v>39.17</v>
      </c>
      <c r="F129" s="122">
        <v>6.93</v>
      </c>
      <c r="G129" s="122">
        <v>0.97</v>
      </c>
      <c r="H129" s="122">
        <v>0</v>
      </c>
      <c r="I129" s="128">
        <v>47.07</v>
      </c>
    </row>
    <row r="130" spans="1:9" x14ac:dyDescent="0.25">
      <c r="A130" s="124" t="str">
        <f t="shared" si="2"/>
        <v>Dagbesteding zg vis zwaar (zg vis5)</v>
      </c>
      <c r="B130" s="282" t="s">
        <v>3094</v>
      </c>
      <c r="C130" s="120" t="s">
        <v>3095</v>
      </c>
      <c r="D130" s="434" t="str">
        <f t="shared" si="3"/>
        <v>H934 Dagbesteding zg vis zwaar (zg vis5)</v>
      </c>
      <c r="E130" s="122">
        <v>39.17</v>
      </c>
      <c r="F130" s="122">
        <v>8.42</v>
      </c>
      <c r="G130" s="122">
        <v>0.97</v>
      </c>
      <c r="H130" s="122">
        <v>0</v>
      </c>
      <c r="I130" s="128">
        <v>48.56</v>
      </c>
    </row>
    <row r="131" spans="1:9" x14ac:dyDescent="0.25">
      <c r="A131" s="124" t="str">
        <f t="shared" si="2"/>
        <v>Vervoer dagbesteding vv</v>
      </c>
      <c r="B131" s="282" t="s">
        <v>2059</v>
      </c>
      <c r="C131" s="120" t="s">
        <v>3096</v>
      </c>
      <c r="D131" s="434" t="str">
        <f t="shared" si="3"/>
        <v>V901 Vervoer dagbesteding vv</v>
      </c>
      <c r="E131" s="122">
        <v>7.35</v>
      </c>
      <c r="F131" s="122">
        <v>0</v>
      </c>
      <c r="G131" s="122">
        <v>0</v>
      </c>
      <c r="H131" s="122">
        <v>0</v>
      </c>
      <c r="I131" s="128">
        <v>7.35</v>
      </c>
    </row>
    <row r="132" spans="1:9" x14ac:dyDescent="0.25">
      <c r="A132" s="124" t="str">
        <f t="shared" si="2"/>
        <v>Vervoer dagbesteding/dagbehandeling ghz - categorie 1</v>
      </c>
      <c r="B132" s="282" t="s">
        <v>3580</v>
      </c>
      <c r="C132" s="120" t="s">
        <v>3547</v>
      </c>
      <c r="D132" s="434" t="str">
        <f t="shared" si="3"/>
        <v>V941 Vervoer dagbesteding/dagbehandeling ghz - categorie 1</v>
      </c>
      <c r="E132" s="122">
        <v>11.97</v>
      </c>
      <c r="F132" s="122">
        <v>0</v>
      </c>
      <c r="G132" s="122">
        <v>0</v>
      </c>
      <c r="H132" s="122">
        <v>0</v>
      </c>
      <c r="I132" s="128">
        <v>11.97</v>
      </c>
    </row>
    <row r="133" spans="1:9" x14ac:dyDescent="0.25">
      <c r="A133" s="124" t="str">
        <f t="shared" si="2"/>
        <v>Vervoer dagbesteding/dagbehandeling ghz - categorie 2</v>
      </c>
      <c r="B133" s="282" t="s">
        <v>3581</v>
      </c>
      <c r="C133" s="120" t="s">
        <v>3549</v>
      </c>
      <c r="D133" s="434" t="str">
        <f t="shared" si="3"/>
        <v>V942 Vervoer dagbesteding/dagbehandeling ghz - categorie 2</v>
      </c>
      <c r="E133" s="122">
        <v>16.91</v>
      </c>
      <c r="F133" s="122">
        <v>0</v>
      </c>
      <c r="G133" s="122">
        <v>0</v>
      </c>
      <c r="H133" s="122">
        <v>0</v>
      </c>
      <c r="I133" s="128">
        <v>16.91</v>
      </c>
    </row>
    <row r="134" spans="1:9" x14ac:dyDescent="0.25">
      <c r="A134" s="124" t="str">
        <f t="shared" si="2"/>
        <v>Vervoer dagbesteding/dagbehandeling ghz - categorie 3</v>
      </c>
      <c r="B134" s="282" t="s">
        <v>3582</v>
      </c>
      <c r="C134" s="120" t="s">
        <v>3551</v>
      </c>
      <c r="D134" s="434" t="str">
        <f t="shared" si="3"/>
        <v>V943 Vervoer dagbesteding/dagbehandeling ghz - categorie 3</v>
      </c>
      <c r="E134" s="122">
        <v>26.79</v>
      </c>
      <c r="F134" s="122">
        <v>0</v>
      </c>
      <c r="G134" s="122">
        <v>0</v>
      </c>
      <c r="H134" s="122">
        <v>0</v>
      </c>
      <c r="I134" s="128">
        <v>26.79</v>
      </c>
    </row>
    <row r="135" spans="1:9" x14ac:dyDescent="0.25">
      <c r="A135" s="124" t="str">
        <f t="shared" ref="A135:A182" si="4">SUBSTITUTE(C135,"ZZP","VPT")</f>
        <v>Vervoer dagbesteding/dagbehandeling ghz - categorie 4</v>
      </c>
      <c r="B135" s="282" t="s">
        <v>3583</v>
      </c>
      <c r="C135" s="120" t="s">
        <v>3553</v>
      </c>
      <c r="D135" s="434" t="str">
        <f t="shared" ref="D135:D182" si="5">CONCATENATE(B135," ",A135)</f>
        <v>V944 Vervoer dagbesteding/dagbehandeling ghz - categorie 4</v>
      </c>
      <c r="E135" s="122">
        <v>46.04</v>
      </c>
      <c r="F135" s="122">
        <v>0</v>
      </c>
      <c r="G135" s="122">
        <v>0</v>
      </c>
      <c r="H135" s="122">
        <v>0</v>
      </c>
      <c r="I135" s="128">
        <v>46.04</v>
      </c>
    </row>
    <row r="136" spans="1:9" x14ac:dyDescent="0.25">
      <c r="A136" s="124" t="str">
        <f t="shared" si="4"/>
        <v>Vervoer dagbesteding/dagbehandeling ghz - categorie 5</v>
      </c>
      <c r="B136" s="282" t="s">
        <v>3584</v>
      </c>
      <c r="C136" s="120" t="s">
        <v>3555</v>
      </c>
      <c r="D136" s="434" t="str">
        <f t="shared" si="5"/>
        <v>V945 Vervoer dagbesteding/dagbehandeling ghz - categorie 5</v>
      </c>
      <c r="E136" s="122">
        <v>66.069999999999993</v>
      </c>
      <c r="F136" s="122">
        <v>0</v>
      </c>
      <c r="G136" s="122">
        <v>0</v>
      </c>
      <c r="H136" s="122">
        <v>0</v>
      </c>
      <c r="I136" s="128">
        <v>66.069999999999993</v>
      </c>
    </row>
    <row r="137" spans="1:9" x14ac:dyDescent="0.25">
      <c r="A137" s="124" t="str">
        <f t="shared" si="4"/>
        <v>Toeslag Huntington</v>
      </c>
      <c r="B137" s="282" t="s">
        <v>2079</v>
      </c>
      <c r="C137" s="120" t="s">
        <v>2080</v>
      </c>
      <c r="D137" s="434" t="str">
        <f t="shared" si="5"/>
        <v>V920 Toeslag Huntington</v>
      </c>
      <c r="E137" s="122">
        <v>43.85</v>
      </c>
      <c r="F137" s="122">
        <v>0</v>
      </c>
      <c r="G137" s="122">
        <v>0</v>
      </c>
      <c r="H137" s="122">
        <v>0</v>
      </c>
      <c r="I137" s="128">
        <v>43.85</v>
      </c>
    </row>
    <row r="138" spans="1:9" x14ac:dyDescent="0.25">
      <c r="A138" s="124" t="str">
        <f t="shared" si="4"/>
        <v>Toeslag Cerebro Vasculair Accident (CVA)</v>
      </c>
      <c r="B138" s="282" t="s">
        <v>2066</v>
      </c>
      <c r="C138" s="120" t="s">
        <v>2500</v>
      </c>
      <c r="D138" s="434" t="str">
        <f t="shared" si="5"/>
        <v>V910 Toeslag Cerebro Vasculair Accident (CVA)</v>
      </c>
      <c r="E138" s="122">
        <v>31.95</v>
      </c>
      <c r="F138" s="122">
        <v>0</v>
      </c>
      <c r="G138" s="122">
        <v>0</v>
      </c>
      <c r="H138" s="122">
        <v>0</v>
      </c>
      <c r="I138" s="128">
        <v>31.95</v>
      </c>
    </row>
    <row r="139" spans="1:9" x14ac:dyDescent="0.25">
      <c r="A139" s="124" t="str">
        <f t="shared" si="4"/>
        <v>Toeslag invasieve beademing</v>
      </c>
      <c r="B139" s="282" t="s">
        <v>2075</v>
      </c>
      <c r="C139" s="120" t="s">
        <v>2076</v>
      </c>
      <c r="D139" s="434" t="str">
        <f t="shared" si="5"/>
        <v>V918 Toeslag invasieve beademing</v>
      </c>
      <c r="E139" s="122">
        <v>226.14</v>
      </c>
      <c r="F139" s="122">
        <v>0</v>
      </c>
      <c r="G139" s="122">
        <v>0</v>
      </c>
      <c r="H139" s="122">
        <v>0</v>
      </c>
      <c r="I139" s="128">
        <v>226.14</v>
      </c>
    </row>
    <row r="140" spans="1:9" x14ac:dyDescent="0.25">
      <c r="A140" s="124" t="str">
        <f t="shared" si="4"/>
        <v>Toeslag non-invasieve beademing</v>
      </c>
      <c r="B140" s="282" t="s">
        <v>2081</v>
      </c>
      <c r="C140" s="120" t="s">
        <v>3097</v>
      </c>
      <c r="D140" s="434" t="str">
        <f t="shared" si="5"/>
        <v>V921 Toeslag non-invasieve beademing</v>
      </c>
      <c r="E140" s="122">
        <v>42.45</v>
      </c>
      <c r="F140" s="122">
        <v>0</v>
      </c>
      <c r="G140" s="122">
        <v>0</v>
      </c>
      <c r="H140" s="122">
        <v>0</v>
      </c>
      <c r="I140" s="128">
        <v>42.45</v>
      </c>
    </row>
    <row r="141" spans="1:9" x14ac:dyDescent="0.25">
      <c r="A141" s="124" t="str">
        <f t="shared" si="4"/>
        <v>Toeslag gespecialiseerde epilepsie zorg (GEZ) laag</v>
      </c>
      <c r="B141" s="282" t="s">
        <v>2083</v>
      </c>
      <c r="C141" s="120" t="s">
        <v>3098</v>
      </c>
      <c r="D141" s="434" t="str">
        <f t="shared" si="5"/>
        <v>V975 Toeslag gespecialiseerde epilepsie zorg (GEZ) laag</v>
      </c>
      <c r="E141" s="122">
        <v>47.62</v>
      </c>
      <c r="F141" s="122">
        <v>0</v>
      </c>
      <c r="G141" s="122">
        <v>0</v>
      </c>
      <c r="H141" s="122">
        <v>0</v>
      </c>
      <c r="I141" s="128">
        <v>47.62</v>
      </c>
    </row>
    <row r="142" spans="1:9" x14ac:dyDescent="0.25">
      <c r="A142" s="124" t="str">
        <f t="shared" si="4"/>
        <v>Toeslag gespecialiseerde epilepsiezorg (GEZ) midden</v>
      </c>
      <c r="B142" s="282" t="s">
        <v>2085</v>
      </c>
      <c r="C142" s="120" t="s">
        <v>2529</v>
      </c>
      <c r="D142" s="434" t="str">
        <f t="shared" si="5"/>
        <v>V976 Toeslag gespecialiseerde epilepsiezorg (GEZ) midden</v>
      </c>
      <c r="E142" s="122">
        <v>82.03</v>
      </c>
      <c r="F142" s="122">
        <v>0</v>
      </c>
      <c r="G142" s="122">
        <v>0</v>
      </c>
      <c r="H142" s="122">
        <v>0</v>
      </c>
      <c r="I142" s="128">
        <v>82.03</v>
      </c>
    </row>
    <row r="143" spans="1:9" x14ac:dyDescent="0.25">
      <c r="A143" s="124" t="str">
        <f t="shared" si="4"/>
        <v>Toeslag gespecialiseerde epilepsiezorg (GEZ) hoog</v>
      </c>
      <c r="B143" s="282" t="s">
        <v>2087</v>
      </c>
      <c r="C143" s="120" t="s">
        <v>2531</v>
      </c>
      <c r="D143" s="434" t="str">
        <f t="shared" si="5"/>
        <v>V977 Toeslag gespecialiseerde epilepsiezorg (GEZ) hoog</v>
      </c>
      <c r="E143" s="122">
        <v>103.93</v>
      </c>
      <c r="F143" s="122">
        <v>0</v>
      </c>
      <c r="G143" s="122">
        <v>0</v>
      </c>
      <c r="H143" s="122">
        <v>0</v>
      </c>
      <c r="I143" s="128">
        <v>103.93</v>
      </c>
    </row>
    <row r="144" spans="1:9" x14ac:dyDescent="0.25">
      <c r="A144" s="124" t="str">
        <f t="shared" si="4"/>
        <v>Toeslag woonzorg ghz kind</v>
      </c>
      <c r="B144" s="282" t="s">
        <v>2089</v>
      </c>
      <c r="C144" s="120" t="s">
        <v>3099</v>
      </c>
      <c r="D144" s="434" t="str">
        <f t="shared" si="5"/>
        <v>V978 Toeslag woonzorg ghz kind</v>
      </c>
      <c r="E144" s="122">
        <v>36.479999999999997</v>
      </c>
      <c r="F144" s="122">
        <v>0</v>
      </c>
      <c r="G144" s="122">
        <v>0</v>
      </c>
      <c r="H144" s="122">
        <v>0</v>
      </c>
      <c r="I144" s="128">
        <v>36.479999999999997</v>
      </c>
    </row>
    <row r="145" spans="1:9" x14ac:dyDescent="0.25">
      <c r="A145" s="124" t="str">
        <f t="shared" si="4"/>
        <v>Toeslag woonzorg ghz jeugd</v>
      </c>
      <c r="B145" s="282" t="s">
        <v>2091</v>
      </c>
      <c r="C145" s="120" t="s">
        <v>3100</v>
      </c>
      <c r="D145" s="434" t="str">
        <f t="shared" si="5"/>
        <v>V979 Toeslag woonzorg ghz jeugd</v>
      </c>
      <c r="E145" s="122">
        <v>22.22</v>
      </c>
      <c r="F145" s="122">
        <v>0</v>
      </c>
      <c r="G145" s="122">
        <v>0</v>
      </c>
      <c r="H145" s="122">
        <v>0</v>
      </c>
      <c r="I145" s="128">
        <v>22.22</v>
      </c>
    </row>
    <row r="146" spans="1:9" x14ac:dyDescent="0.25">
      <c r="A146" s="124" t="str">
        <f t="shared" si="4"/>
        <v>Toeslag woonzorg ghz jong volwassen</v>
      </c>
      <c r="B146" s="282" t="s">
        <v>2093</v>
      </c>
      <c r="C146" s="120" t="s">
        <v>3101</v>
      </c>
      <c r="D146" s="434" t="str">
        <f t="shared" si="5"/>
        <v>V980 Toeslag woonzorg ghz jong volwassen</v>
      </c>
      <c r="E146" s="122">
        <v>18.29</v>
      </c>
      <c r="F146" s="122">
        <v>0</v>
      </c>
      <c r="G146" s="122">
        <v>0</v>
      </c>
      <c r="H146" s="122">
        <v>0</v>
      </c>
      <c r="I146" s="128">
        <v>18.29</v>
      </c>
    </row>
    <row r="147" spans="1:9" x14ac:dyDescent="0.25">
      <c r="A147" s="124" t="str">
        <f t="shared" si="4"/>
        <v>Toeslag gespecialiseerde behandelzorg</v>
      </c>
      <c r="B147" s="282" t="s">
        <v>2095</v>
      </c>
      <c r="C147" s="120" t="s">
        <v>2096</v>
      </c>
      <c r="D147" s="434" t="str">
        <f t="shared" si="5"/>
        <v>V981 Toeslag gespecialiseerde behandelzorg</v>
      </c>
      <c r="E147" s="122">
        <v>127.17</v>
      </c>
      <c r="F147" s="122">
        <v>0</v>
      </c>
      <c r="G147" s="122">
        <v>0</v>
      </c>
      <c r="H147" s="122">
        <v>0</v>
      </c>
      <c r="I147" s="128">
        <v>127.17</v>
      </c>
    </row>
    <row r="148" spans="1:9" x14ac:dyDescent="0.25">
      <c r="A148" s="124" t="str">
        <f t="shared" si="4"/>
        <v>Toeslag dagbesteding ghz kind - licht</v>
      </c>
      <c r="B148" s="282" t="s">
        <v>2069</v>
      </c>
      <c r="C148" s="120" t="s">
        <v>3102</v>
      </c>
      <c r="D148" s="434" t="str">
        <f t="shared" si="5"/>
        <v>V913 Toeslag dagbesteding ghz kind - licht</v>
      </c>
      <c r="E148" s="122">
        <v>22.64</v>
      </c>
      <c r="F148" s="122">
        <v>0</v>
      </c>
      <c r="G148" s="122">
        <v>0</v>
      </c>
      <c r="H148" s="122">
        <v>0</v>
      </c>
      <c r="I148" s="128">
        <v>22.64</v>
      </c>
    </row>
    <row r="149" spans="1:9" x14ac:dyDescent="0.25">
      <c r="A149" s="124" t="str">
        <f t="shared" si="4"/>
        <v>Toeslag dagbesteding ghz kind - midden</v>
      </c>
      <c r="B149" s="282" t="s">
        <v>2071</v>
      </c>
      <c r="C149" s="120" t="s">
        <v>3103</v>
      </c>
      <c r="D149" s="434" t="str">
        <f t="shared" si="5"/>
        <v>V914 Toeslag dagbesteding ghz kind - midden</v>
      </c>
      <c r="E149" s="122">
        <v>27.73</v>
      </c>
      <c r="F149" s="122">
        <v>0</v>
      </c>
      <c r="G149" s="122">
        <v>0</v>
      </c>
      <c r="H149" s="122">
        <v>0</v>
      </c>
      <c r="I149" s="128">
        <v>27.73</v>
      </c>
    </row>
    <row r="150" spans="1:9" x14ac:dyDescent="0.25">
      <c r="A150" s="124" t="str">
        <f t="shared" si="4"/>
        <v>Toeslag dagbesteding ghz kind - zwaar</v>
      </c>
      <c r="B150" s="282" t="s">
        <v>2073</v>
      </c>
      <c r="C150" s="120" t="s">
        <v>3104</v>
      </c>
      <c r="D150" s="434" t="str">
        <f t="shared" si="5"/>
        <v>V915 Toeslag dagbesteding ghz kind - zwaar</v>
      </c>
      <c r="E150" s="122">
        <v>41.52</v>
      </c>
      <c r="F150" s="122">
        <v>0</v>
      </c>
      <c r="G150" s="122">
        <v>0</v>
      </c>
      <c r="H150" s="122">
        <v>0</v>
      </c>
      <c r="I150" s="128">
        <v>41.52</v>
      </c>
    </row>
    <row r="151" spans="1:9" x14ac:dyDescent="0.25">
      <c r="A151" s="124" t="str">
        <f t="shared" si="4"/>
        <v>Toeslag dagbesteding ghz kind – vg5/vg8 midden emg</v>
      </c>
      <c r="B151" s="282" t="s">
        <v>2077</v>
      </c>
      <c r="C151" s="120" t="s">
        <v>3105</v>
      </c>
      <c r="D151" s="434" t="str">
        <f t="shared" si="5"/>
        <v>V919 Toeslag dagbesteding ghz kind – vg5/vg8 midden emg</v>
      </c>
      <c r="E151" s="122">
        <v>69.86</v>
      </c>
      <c r="F151" s="122">
        <v>0</v>
      </c>
      <c r="G151" s="122">
        <v>0</v>
      </c>
      <c r="H151" s="122">
        <v>0</v>
      </c>
      <c r="I151" s="128">
        <v>69.86</v>
      </c>
    </row>
    <row r="152" spans="1:9" x14ac:dyDescent="0.25">
      <c r="A152" s="124" t="str">
        <f t="shared" si="4"/>
        <v>Toeslag kind dagbesteding vg licht</v>
      </c>
      <c r="B152" s="282" t="s">
        <v>451</v>
      </c>
      <c r="C152" s="120" t="s">
        <v>3106</v>
      </c>
      <c r="D152" s="434" t="str">
        <f t="shared" si="5"/>
        <v>H940 Toeslag kind dagbesteding vg licht</v>
      </c>
      <c r="E152" s="122">
        <v>22.64</v>
      </c>
      <c r="F152" s="122">
        <v>0</v>
      </c>
      <c r="G152" s="122">
        <v>0</v>
      </c>
      <c r="H152" s="122">
        <v>17.059999999999999</v>
      </c>
      <c r="I152" s="128">
        <v>39.700000000000003</v>
      </c>
    </row>
    <row r="153" spans="1:9" x14ac:dyDescent="0.25">
      <c r="A153" s="124" t="str">
        <f t="shared" si="4"/>
        <v>Toeslag kind dagbesteding vg midden</v>
      </c>
      <c r="B153" s="282" t="s">
        <v>449</v>
      </c>
      <c r="C153" s="120" t="s">
        <v>3107</v>
      </c>
      <c r="D153" s="434" t="str">
        <f t="shared" si="5"/>
        <v>H941 Toeslag kind dagbesteding vg midden</v>
      </c>
      <c r="E153" s="122">
        <v>27.73</v>
      </c>
      <c r="F153" s="122">
        <v>0</v>
      </c>
      <c r="G153" s="122">
        <v>0</v>
      </c>
      <c r="H153" s="122">
        <v>17.059999999999999</v>
      </c>
      <c r="I153" s="128">
        <v>44.79</v>
      </c>
    </row>
    <row r="154" spans="1:9" x14ac:dyDescent="0.25">
      <c r="A154" s="124" t="str">
        <f t="shared" si="4"/>
        <v>Toeslag kind dagbesteding vg5/vg8 midden emg</v>
      </c>
      <c r="B154" s="282" t="s">
        <v>463</v>
      </c>
      <c r="C154" s="120" t="s">
        <v>3108</v>
      </c>
      <c r="D154" s="434" t="str">
        <f t="shared" si="5"/>
        <v>H942 Toeslag kind dagbesteding vg5/vg8 midden emg</v>
      </c>
      <c r="E154" s="122">
        <v>69.86</v>
      </c>
      <c r="F154" s="122">
        <v>0</v>
      </c>
      <c r="G154" s="122">
        <v>0</v>
      </c>
      <c r="H154" s="122">
        <v>17.059999999999999</v>
      </c>
      <c r="I154" s="128">
        <v>86.92</v>
      </c>
    </row>
    <row r="155" spans="1:9" x14ac:dyDescent="0.25">
      <c r="A155" s="124" t="str">
        <f t="shared" si="4"/>
        <v>Toeslag kind dagbesteding vg zwaar</v>
      </c>
      <c r="B155" s="282" t="s">
        <v>482</v>
      </c>
      <c r="C155" s="120" t="s">
        <v>3109</v>
      </c>
      <c r="D155" s="434" t="str">
        <f t="shared" si="5"/>
        <v>H943 Toeslag kind dagbesteding vg zwaar</v>
      </c>
      <c r="E155" s="122">
        <v>41.52</v>
      </c>
      <c r="F155" s="122">
        <v>0</v>
      </c>
      <c r="G155" s="122">
        <v>0</v>
      </c>
      <c r="H155" s="122">
        <v>17.059999999999999</v>
      </c>
      <c r="I155" s="128">
        <v>58.58</v>
      </c>
    </row>
    <row r="156" spans="1:9" x14ac:dyDescent="0.25">
      <c r="A156" s="124" t="str">
        <f t="shared" si="4"/>
        <v>Toeslag kind dagbesteding lg licht</v>
      </c>
      <c r="B156" s="282" t="s">
        <v>474</v>
      </c>
      <c r="C156" s="120" t="s">
        <v>3110</v>
      </c>
      <c r="D156" s="434" t="str">
        <f t="shared" si="5"/>
        <v>H950 Toeslag kind dagbesteding lg licht</v>
      </c>
      <c r="E156" s="122">
        <v>22.64</v>
      </c>
      <c r="F156" s="122">
        <v>0</v>
      </c>
      <c r="G156" s="122">
        <v>0</v>
      </c>
      <c r="H156" s="122">
        <v>17.059999999999999</v>
      </c>
      <c r="I156" s="128">
        <v>39.700000000000003</v>
      </c>
    </row>
    <row r="157" spans="1:9" x14ac:dyDescent="0.25">
      <c r="A157" s="124" t="str">
        <f t="shared" si="4"/>
        <v>Toeslag kind dagbesteding lg midden</v>
      </c>
      <c r="B157" s="282" t="s">
        <v>455</v>
      </c>
      <c r="C157" s="120" t="s">
        <v>3111</v>
      </c>
      <c r="D157" s="434" t="str">
        <f t="shared" si="5"/>
        <v>H951 Toeslag kind dagbesteding lg midden</v>
      </c>
      <c r="E157" s="122">
        <v>27.73</v>
      </c>
      <c r="F157" s="122">
        <v>0</v>
      </c>
      <c r="G157" s="122">
        <v>0</v>
      </c>
      <c r="H157" s="122">
        <v>17.059999999999999</v>
      </c>
      <c r="I157" s="128">
        <v>44.79</v>
      </c>
    </row>
    <row r="158" spans="1:9" x14ac:dyDescent="0.25">
      <c r="A158" s="124" t="str">
        <f t="shared" si="4"/>
        <v>Toeslag kind dagbesteding lg zwaar</v>
      </c>
      <c r="B158" s="282" t="s">
        <v>465</v>
      </c>
      <c r="C158" s="120" t="s">
        <v>3112</v>
      </c>
      <c r="D158" s="434" t="str">
        <f t="shared" si="5"/>
        <v>H952 Toeslag kind dagbesteding lg zwaar</v>
      </c>
      <c r="E158" s="122">
        <v>41.52</v>
      </c>
      <c r="F158" s="122">
        <v>0</v>
      </c>
      <c r="G158" s="122">
        <v>0</v>
      </c>
      <c r="H158" s="122">
        <v>17.059999999999999</v>
      </c>
      <c r="I158" s="128">
        <v>58.58</v>
      </c>
    </row>
    <row r="159" spans="1:9" x14ac:dyDescent="0.25">
      <c r="A159" s="124" t="str">
        <f t="shared" si="4"/>
        <v>Toeslag kind dagbesteding zg auditief licht</v>
      </c>
      <c r="B159" s="282" t="s">
        <v>488</v>
      </c>
      <c r="C159" s="120" t="s">
        <v>3113</v>
      </c>
      <c r="D159" s="434" t="str">
        <f t="shared" si="5"/>
        <v>H960 Toeslag kind dagbesteding zg auditief licht</v>
      </c>
      <c r="E159" s="122">
        <v>22.64</v>
      </c>
      <c r="F159" s="122">
        <v>0</v>
      </c>
      <c r="G159" s="122">
        <v>0</v>
      </c>
      <c r="H159" s="122">
        <v>17.059999999999999</v>
      </c>
      <c r="I159" s="128">
        <v>39.700000000000003</v>
      </c>
    </row>
    <row r="160" spans="1:9" x14ac:dyDescent="0.25">
      <c r="A160" s="124" t="str">
        <f t="shared" si="4"/>
        <v>Toeslag kind dagbesteding zg auditief midden</v>
      </c>
      <c r="B160" s="282" t="s">
        <v>508</v>
      </c>
      <c r="C160" s="120" t="s">
        <v>3114</v>
      </c>
      <c r="D160" s="434" t="str">
        <f t="shared" si="5"/>
        <v>H961 Toeslag kind dagbesteding zg auditief midden</v>
      </c>
      <c r="E160" s="122">
        <v>27.73</v>
      </c>
      <c r="F160" s="122">
        <v>0</v>
      </c>
      <c r="G160" s="122">
        <v>0</v>
      </c>
      <c r="H160" s="122">
        <v>17.059999999999999</v>
      </c>
      <c r="I160" s="128">
        <v>44.79</v>
      </c>
    </row>
    <row r="161" spans="1:9" x14ac:dyDescent="0.25">
      <c r="A161" s="124" t="str">
        <f t="shared" si="4"/>
        <v>Toeslag kind dagbesteding zg auditief zwaar</v>
      </c>
      <c r="B161" s="282" t="s">
        <v>544</v>
      </c>
      <c r="C161" s="120" t="s">
        <v>3115</v>
      </c>
      <c r="D161" s="434" t="str">
        <f t="shared" si="5"/>
        <v>H962 Toeslag kind dagbesteding zg auditief zwaar</v>
      </c>
      <c r="E161" s="122">
        <v>41.52</v>
      </c>
      <c r="F161" s="122">
        <v>0</v>
      </c>
      <c r="G161" s="122">
        <v>0</v>
      </c>
      <c r="H161" s="122">
        <v>17.059999999999999</v>
      </c>
      <c r="I161" s="128">
        <v>58.58</v>
      </c>
    </row>
    <row r="162" spans="1:9" x14ac:dyDescent="0.25">
      <c r="A162" s="124" t="str">
        <f t="shared" si="4"/>
        <v>Toeslag kind dagbesteding zg visueel licht</v>
      </c>
      <c r="B162" s="282" t="s">
        <v>514</v>
      </c>
      <c r="C162" s="120" t="s">
        <v>3116</v>
      </c>
      <c r="D162" s="434" t="str">
        <f t="shared" si="5"/>
        <v>H970 Toeslag kind dagbesteding zg visueel licht</v>
      </c>
      <c r="E162" s="122">
        <v>22.64</v>
      </c>
      <c r="F162" s="122">
        <v>0</v>
      </c>
      <c r="G162" s="122">
        <v>0</v>
      </c>
      <c r="H162" s="122">
        <v>17.059999999999999</v>
      </c>
      <c r="I162" s="128">
        <v>39.700000000000003</v>
      </c>
    </row>
    <row r="163" spans="1:9" x14ac:dyDescent="0.25">
      <c r="A163" s="124" t="str">
        <f t="shared" si="4"/>
        <v>Toeslag kind dagbesteding zg visueel midden</v>
      </c>
      <c r="B163" s="282" t="s">
        <v>552</v>
      </c>
      <c r="C163" s="120" t="s">
        <v>3117</v>
      </c>
      <c r="D163" s="434" t="str">
        <f t="shared" si="5"/>
        <v>H971 Toeslag kind dagbesteding zg visueel midden</v>
      </c>
      <c r="E163" s="122">
        <v>27.73</v>
      </c>
      <c r="F163" s="122">
        <v>0</v>
      </c>
      <c r="G163" s="122">
        <v>0</v>
      </c>
      <c r="H163" s="122">
        <v>17.059999999999999</v>
      </c>
      <c r="I163" s="128">
        <v>44.79</v>
      </c>
    </row>
    <row r="164" spans="1:9" x14ac:dyDescent="0.25">
      <c r="A164" s="124" t="str">
        <f t="shared" si="4"/>
        <v>Toeslag kind dagbesteding zg visueel zwaar</v>
      </c>
      <c r="B164" s="282" t="s">
        <v>558</v>
      </c>
      <c r="C164" s="120" t="s">
        <v>3118</v>
      </c>
      <c r="D164" s="434" t="str">
        <f t="shared" si="5"/>
        <v>H972 Toeslag kind dagbesteding zg visueel zwaar</v>
      </c>
      <c r="E164" s="122">
        <v>41.52</v>
      </c>
      <c r="F164" s="122">
        <v>0</v>
      </c>
      <c r="G164" s="122">
        <v>0</v>
      </c>
      <c r="H164" s="122">
        <v>17.059999999999999</v>
      </c>
      <c r="I164" s="128">
        <v>58.58</v>
      </c>
    </row>
    <row r="165" spans="1:9" x14ac:dyDescent="0.25">
      <c r="A165" s="124" t="str">
        <f t="shared" si="4"/>
        <v>Opslag Waardigheid en Trots vpt-zzp 4vv excl. bh</v>
      </c>
      <c r="B165" s="282" t="s">
        <v>3119</v>
      </c>
      <c r="C165" s="120" t="s">
        <v>3120</v>
      </c>
      <c r="D165" s="434" t="str">
        <f t="shared" si="5"/>
        <v>WV041 Opslag Waardigheid en Trots vpt-zzp 4vv excl. bh</v>
      </c>
      <c r="E165" s="122">
        <v>2.14</v>
      </c>
      <c r="F165" s="122">
        <v>0</v>
      </c>
      <c r="G165" s="122">
        <v>0</v>
      </c>
      <c r="H165" s="122">
        <v>0</v>
      </c>
      <c r="I165" s="128">
        <v>2.14</v>
      </c>
    </row>
    <row r="166" spans="1:9" x14ac:dyDescent="0.25">
      <c r="A166" s="124" t="str">
        <f t="shared" si="4"/>
        <v>Opslag Waardigheid en Trots vpt-zzp 5vv excl. bh</v>
      </c>
      <c r="B166" s="282" t="s">
        <v>3121</v>
      </c>
      <c r="C166" s="120" t="s">
        <v>3122</v>
      </c>
      <c r="D166" s="434" t="str">
        <f t="shared" si="5"/>
        <v>WV051 Opslag Waardigheid en Trots vpt-zzp 5vv excl. bh</v>
      </c>
      <c r="E166" s="122">
        <v>2.95</v>
      </c>
      <c r="F166" s="122">
        <v>0</v>
      </c>
      <c r="G166" s="122">
        <v>0</v>
      </c>
      <c r="H166" s="122">
        <v>0</v>
      </c>
      <c r="I166" s="128">
        <v>2.95</v>
      </c>
    </row>
    <row r="167" spans="1:9" x14ac:dyDescent="0.25">
      <c r="A167" s="124" t="str">
        <f t="shared" si="4"/>
        <v>Opslag Waardigheid en Trots vpt-zzp 6vv excl. bh</v>
      </c>
      <c r="B167" s="282" t="s">
        <v>3123</v>
      </c>
      <c r="C167" s="120" t="s">
        <v>3124</v>
      </c>
      <c r="D167" s="434" t="str">
        <f t="shared" si="5"/>
        <v>WV061 Opslag Waardigheid en Trots vpt-zzp 6vv excl. bh</v>
      </c>
      <c r="E167" s="122">
        <v>2.95</v>
      </c>
      <c r="F167" s="122">
        <v>0</v>
      </c>
      <c r="G167" s="122">
        <v>0</v>
      </c>
      <c r="H167" s="122">
        <v>0</v>
      </c>
      <c r="I167" s="128">
        <v>2.95</v>
      </c>
    </row>
    <row r="168" spans="1:9" x14ac:dyDescent="0.25">
      <c r="A168" s="124" t="str">
        <f t="shared" si="4"/>
        <v>Opslag Waardigheid en Trots vpt-zzp 7vv excl. bh</v>
      </c>
      <c r="B168" s="282" t="s">
        <v>3125</v>
      </c>
      <c r="C168" s="120" t="s">
        <v>3126</v>
      </c>
      <c r="D168" s="434" t="str">
        <f t="shared" si="5"/>
        <v>WV071 Opslag Waardigheid en Trots vpt-zzp 7vv excl. bh</v>
      </c>
      <c r="E168" s="122">
        <v>3.46</v>
      </c>
      <c r="F168" s="122">
        <v>0</v>
      </c>
      <c r="G168" s="122">
        <v>0</v>
      </c>
      <c r="H168" s="122">
        <v>0</v>
      </c>
      <c r="I168" s="128">
        <v>3.46</v>
      </c>
    </row>
    <row r="169" spans="1:9" x14ac:dyDescent="0.25">
      <c r="A169" s="124" t="str">
        <f t="shared" si="4"/>
        <v>Opslag Waardigheid en Trots vpt-zzp 8vv excl. bh</v>
      </c>
      <c r="B169" s="282" t="s">
        <v>3127</v>
      </c>
      <c r="C169" s="120" t="s">
        <v>3128</v>
      </c>
      <c r="D169" s="434" t="str">
        <f t="shared" si="5"/>
        <v>WV081 Opslag Waardigheid en Trots vpt-zzp 8vv excl. bh</v>
      </c>
      <c r="E169" s="122">
        <v>4.0199999999999996</v>
      </c>
      <c r="F169" s="122">
        <v>0</v>
      </c>
      <c r="G169" s="122">
        <v>0</v>
      </c>
      <c r="H169" s="122">
        <v>0</v>
      </c>
      <c r="I169" s="128">
        <v>4.0199999999999996</v>
      </c>
    </row>
    <row r="170" spans="1:9" x14ac:dyDescent="0.25">
      <c r="A170" s="124" t="str">
        <f t="shared" si="4"/>
        <v>Opslag Waardigheid en Trots vpt-zzp 9bvv excl. bh</v>
      </c>
      <c r="B170" s="282" t="s">
        <v>3129</v>
      </c>
      <c r="C170" s="120" t="s">
        <v>3130</v>
      </c>
      <c r="D170" s="434" t="str">
        <f t="shared" si="5"/>
        <v>WV095 Opslag Waardigheid en Trots vpt-zzp 9bvv excl. bh</v>
      </c>
      <c r="E170" s="122">
        <v>2.87</v>
      </c>
      <c r="F170" s="122">
        <v>0</v>
      </c>
      <c r="G170" s="122">
        <v>0</v>
      </c>
      <c r="H170" s="122">
        <v>0</v>
      </c>
      <c r="I170" s="128">
        <v>2.87</v>
      </c>
    </row>
    <row r="171" spans="1:9" x14ac:dyDescent="0.25">
      <c r="A171" s="124" t="str">
        <f t="shared" si="4"/>
        <v>Opslag Waardigheid en Trots vpt-zzp 10vv excl. bh</v>
      </c>
      <c r="B171" s="282" t="s">
        <v>3131</v>
      </c>
      <c r="C171" s="120" t="s">
        <v>3132</v>
      </c>
      <c r="D171" s="434" t="str">
        <f t="shared" si="5"/>
        <v>WV101 Opslag Waardigheid en Trots vpt-zzp 10vv excl. bh</v>
      </c>
      <c r="E171" s="122">
        <v>4.4000000000000004</v>
      </c>
      <c r="F171" s="122">
        <v>0</v>
      </c>
      <c r="G171" s="122">
        <v>0</v>
      </c>
      <c r="H171" s="122">
        <v>0</v>
      </c>
      <c r="I171" s="128">
        <v>4.4000000000000004</v>
      </c>
    </row>
    <row r="172" spans="1:9" x14ac:dyDescent="0.25">
      <c r="A172" s="124" t="str">
        <f t="shared" si="4"/>
        <v>Opslag Waardigheid en Trots vpt-zzp 4vv incl. bh</v>
      </c>
      <c r="B172" s="282" t="s">
        <v>3133</v>
      </c>
      <c r="C172" s="120" t="s">
        <v>3134</v>
      </c>
      <c r="D172" s="434" t="str">
        <f t="shared" si="5"/>
        <v>WV043 Opslag Waardigheid en Trots vpt-zzp 4vv incl. bh</v>
      </c>
      <c r="E172" s="122">
        <v>2.5099999999999998</v>
      </c>
      <c r="F172" s="122">
        <v>0</v>
      </c>
      <c r="G172" s="122">
        <v>0</v>
      </c>
      <c r="H172" s="122">
        <v>0</v>
      </c>
      <c r="I172" s="128">
        <v>2.5099999999999998</v>
      </c>
    </row>
    <row r="173" spans="1:9" x14ac:dyDescent="0.25">
      <c r="A173" s="124" t="str">
        <f t="shared" si="4"/>
        <v>Opslag Waardigheid en Trots vpt-zzp 5vv incl. bh</v>
      </c>
      <c r="B173" s="282" t="s">
        <v>3135</v>
      </c>
      <c r="C173" s="120" t="s">
        <v>3136</v>
      </c>
      <c r="D173" s="434" t="str">
        <f t="shared" si="5"/>
        <v>WV053 Opslag Waardigheid en Trots vpt-zzp 5vv incl. bh</v>
      </c>
      <c r="E173" s="122">
        <v>3.35</v>
      </c>
      <c r="F173" s="122">
        <v>0</v>
      </c>
      <c r="G173" s="122">
        <v>0</v>
      </c>
      <c r="H173" s="122">
        <v>0</v>
      </c>
      <c r="I173" s="128">
        <v>3.35</v>
      </c>
    </row>
    <row r="174" spans="1:9" x14ac:dyDescent="0.25">
      <c r="A174" s="124" t="str">
        <f t="shared" si="4"/>
        <v>Opslag Waardigheid en Trots vpt-zzp 6vv incl. bh</v>
      </c>
      <c r="B174" s="282" t="s">
        <v>3137</v>
      </c>
      <c r="C174" s="120" t="s">
        <v>3138</v>
      </c>
      <c r="D174" s="434" t="str">
        <f t="shared" si="5"/>
        <v>WV063 Opslag Waardigheid en Trots vpt-zzp 6vv incl. bh</v>
      </c>
      <c r="E174" s="122">
        <v>3.35</v>
      </c>
      <c r="F174" s="122">
        <v>0</v>
      </c>
      <c r="G174" s="122">
        <v>0</v>
      </c>
      <c r="H174" s="122">
        <v>0</v>
      </c>
      <c r="I174" s="128">
        <v>3.35</v>
      </c>
    </row>
    <row r="175" spans="1:9" x14ac:dyDescent="0.25">
      <c r="A175" s="124" t="str">
        <f t="shared" si="4"/>
        <v>Opslag Waardigheid en Trots vpt-zzp 7vv incl. bh</v>
      </c>
      <c r="B175" s="282" t="s">
        <v>3139</v>
      </c>
      <c r="C175" s="120" t="s">
        <v>3140</v>
      </c>
      <c r="D175" s="434" t="str">
        <f t="shared" si="5"/>
        <v>WV073 Opslag Waardigheid en Trots vpt-zzp 7vv incl. bh</v>
      </c>
      <c r="E175" s="122">
        <v>4</v>
      </c>
      <c r="F175" s="122">
        <v>0</v>
      </c>
      <c r="G175" s="122">
        <v>0</v>
      </c>
      <c r="H175" s="122">
        <v>0</v>
      </c>
      <c r="I175" s="128">
        <v>4</v>
      </c>
    </row>
    <row r="176" spans="1:9" x14ac:dyDescent="0.25">
      <c r="A176" s="124" t="str">
        <f t="shared" si="4"/>
        <v>Opslag Waardigheid en Trots vpt-zzp 8vv incl. bh</v>
      </c>
      <c r="B176" s="282" t="s">
        <v>3141</v>
      </c>
      <c r="C176" s="120" t="s">
        <v>3142</v>
      </c>
      <c r="D176" s="434" t="str">
        <f t="shared" si="5"/>
        <v>WV083 Opslag Waardigheid en Trots vpt-zzp 8vv incl. bh</v>
      </c>
      <c r="E176" s="122">
        <v>4.5599999999999996</v>
      </c>
      <c r="F176" s="122">
        <v>0</v>
      </c>
      <c r="G176" s="122">
        <v>0</v>
      </c>
      <c r="H176" s="122">
        <v>0</v>
      </c>
      <c r="I176" s="128">
        <v>4.5599999999999996</v>
      </c>
    </row>
    <row r="177" spans="1:9" x14ac:dyDescent="0.25">
      <c r="A177" s="124" t="str">
        <f t="shared" si="4"/>
        <v>Opslag Waardigheid en Trots vpt-zzp 9bvv incl. bh</v>
      </c>
      <c r="B177" s="282" t="s">
        <v>3143</v>
      </c>
      <c r="C177" s="120" t="s">
        <v>3144</v>
      </c>
      <c r="D177" s="434" t="str">
        <f t="shared" si="5"/>
        <v>WV097 Opslag Waardigheid en Trots vpt-zzp 9bvv incl. bh</v>
      </c>
      <c r="E177" s="122">
        <v>3.97</v>
      </c>
      <c r="F177" s="122">
        <v>0</v>
      </c>
      <c r="G177" s="122">
        <v>0</v>
      </c>
      <c r="H177" s="122">
        <v>0</v>
      </c>
      <c r="I177" s="128">
        <v>3.97</v>
      </c>
    </row>
    <row r="178" spans="1:9" x14ac:dyDescent="0.25">
      <c r="A178" s="124" t="str">
        <f t="shared" si="4"/>
        <v>Opslag Waardigheid en Trots vpt-zzp 10vv incl. bh</v>
      </c>
      <c r="B178" s="282" t="s">
        <v>3145</v>
      </c>
      <c r="C178" s="120" t="s">
        <v>3146</v>
      </c>
      <c r="D178" s="434" t="str">
        <f t="shared" si="5"/>
        <v>WV103 Opslag Waardigheid en Trots vpt-zzp 10vv incl. bh</v>
      </c>
      <c r="E178" s="122">
        <v>4.93</v>
      </c>
      <c r="F178" s="122">
        <v>0</v>
      </c>
      <c r="G178" s="122">
        <v>0</v>
      </c>
      <c r="H178" s="122">
        <v>0</v>
      </c>
      <c r="I178" s="128">
        <v>4.93</v>
      </c>
    </row>
    <row r="179" spans="1:9" x14ac:dyDescent="0.25">
      <c r="A179" s="124" t="str">
        <f t="shared" si="4"/>
        <v/>
      </c>
      <c r="D179" s="434" t="str">
        <f t="shared" si="5"/>
        <v xml:space="preserve"> </v>
      </c>
      <c r="I179" s="128">
        <v>0</v>
      </c>
    </row>
    <row r="180" spans="1:9" x14ac:dyDescent="0.25">
      <c r="A180" s="124" t="str">
        <f t="shared" si="4"/>
        <v/>
      </c>
      <c r="D180" s="434" t="str">
        <f t="shared" si="5"/>
        <v xml:space="preserve"> </v>
      </c>
      <c r="I180" s="128">
        <v>0</v>
      </c>
    </row>
    <row r="181" spans="1:9" x14ac:dyDescent="0.25">
      <c r="A181" s="124" t="str">
        <f t="shared" si="4"/>
        <v/>
      </c>
      <c r="D181" s="434" t="str">
        <f t="shared" si="5"/>
        <v xml:space="preserve"> </v>
      </c>
      <c r="I181" s="128">
        <v>0</v>
      </c>
    </row>
    <row r="182" spans="1:9" x14ac:dyDescent="0.25">
      <c r="A182" s="124" t="str">
        <f t="shared" si="4"/>
        <v/>
      </c>
      <c r="D182" s="434" t="str">
        <f t="shared" si="5"/>
        <v xml:space="preserve"> </v>
      </c>
      <c r="I182" s="128">
        <v>0</v>
      </c>
    </row>
    <row r="184" spans="1:9" x14ac:dyDescent="0.25">
      <c r="A184" s="121"/>
    </row>
    <row r="186" spans="1:9" x14ac:dyDescent="0.25">
      <c r="I186" s="131"/>
    </row>
    <row r="187" spans="1:9" x14ac:dyDescent="0.25">
      <c r="I187" s="131"/>
    </row>
    <row r="188" spans="1:9" x14ac:dyDescent="0.25">
      <c r="I188" s="131"/>
    </row>
    <row r="189" spans="1:9" x14ac:dyDescent="0.25">
      <c r="I189" s="131"/>
    </row>
    <row r="190" spans="1:9" x14ac:dyDescent="0.25">
      <c r="I190" s="131"/>
    </row>
    <row r="191" spans="1:9" x14ac:dyDescent="0.25">
      <c r="I191" s="131"/>
    </row>
    <row r="192" spans="1:9" x14ac:dyDescent="0.25">
      <c r="I192" s="131"/>
    </row>
    <row r="193" spans="1:9" x14ac:dyDescent="0.25">
      <c r="I193" s="131"/>
    </row>
    <row r="195" spans="1:9" x14ac:dyDescent="0.25">
      <c r="A195" s="121"/>
      <c r="I195" s="131"/>
    </row>
    <row r="196" spans="1:9" x14ac:dyDescent="0.25">
      <c r="I196" s="131"/>
    </row>
    <row r="197" spans="1:9" x14ac:dyDescent="0.25">
      <c r="I197" s="131"/>
    </row>
    <row r="198" spans="1:9" x14ac:dyDescent="0.25">
      <c r="I198" s="131"/>
    </row>
    <row r="199" spans="1:9" x14ac:dyDescent="0.25">
      <c r="I199" s="131"/>
    </row>
    <row r="200" spans="1:9" x14ac:dyDescent="0.25">
      <c r="I200" s="131"/>
    </row>
    <row r="201" spans="1:9" x14ac:dyDescent="0.25">
      <c r="I201" s="131"/>
    </row>
    <row r="202" spans="1:9" x14ac:dyDescent="0.25">
      <c r="A202" s="120"/>
      <c r="I202" s="131"/>
    </row>
    <row r="203" spans="1:9" x14ac:dyDescent="0.25">
      <c r="A203" s="120"/>
      <c r="I203" s="131"/>
    </row>
    <row r="204" spans="1:9" x14ac:dyDescent="0.25">
      <c r="A204" s="120"/>
      <c r="I204" s="131"/>
    </row>
    <row r="205" spans="1:9" x14ac:dyDescent="0.25">
      <c r="A205" s="120"/>
      <c r="I205" s="131"/>
    </row>
    <row r="206" spans="1:9" x14ac:dyDescent="0.25">
      <c r="A206" s="120"/>
      <c r="I206" s="131"/>
    </row>
    <row r="207" spans="1:9" x14ac:dyDescent="0.25">
      <c r="A207" s="120"/>
      <c r="I207" s="131"/>
    </row>
    <row r="208" spans="1:9" x14ac:dyDescent="0.25">
      <c r="A208" s="120"/>
      <c r="I208" s="131"/>
    </row>
    <row r="209" spans="1:9" x14ac:dyDescent="0.25">
      <c r="A209" s="120"/>
      <c r="I209" s="131"/>
    </row>
    <row r="210" spans="1:9" x14ac:dyDescent="0.25">
      <c r="A210" s="120"/>
      <c r="I210" s="131"/>
    </row>
    <row r="211" spans="1:9" x14ac:dyDescent="0.25">
      <c r="A211" s="120"/>
      <c r="I211" s="131"/>
    </row>
    <row r="212" spans="1:9" x14ac:dyDescent="0.25">
      <c r="A212" s="120"/>
      <c r="I212" s="131"/>
    </row>
    <row r="213" spans="1:9" x14ac:dyDescent="0.25">
      <c r="A213" s="120"/>
      <c r="I213" s="131"/>
    </row>
  </sheetData>
  <sheetProtection algorithmName="SHA-512" hashValue="8LvNPZtNQxKBvaIn1/0IYUtVGp1GW0NwKa2KKYNpZns9Dk7KiLP9UMSjgDuCIZms/QvohQicwnuSas/oBoTxSg==" saltValue="xKdwLnGpNs055Hn+WKubQQ=="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9"/>
  <dimension ref="A1:M277"/>
  <sheetViews>
    <sheetView workbookViewId="0">
      <selection activeCell="C27" sqref="C27"/>
    </sheetView>
  </sheetViews>
  <sheetFormatPr defaultColWidth="8.7109375" defaultRowHeight="15" x14ac:dyDescent="0.25"/>
  <cols>
    <col min="1" max="1" width="8.7109375" style="124"/>
    <col min="2" max="2" width="12.85546875" style="282" customWidth="1"/>
    <col min="3" max="3" width="61.140625" style="120" bestFit="1" customWidth="1"/>
    <col min="4" max="4" width="61.140625" style="120" customWidth="1"/>
    <col min="5" max="5" width="41.28515625" style="120" customWidth="1"/>
    <col min="6" max="6" width="28.42578125" style="122" customWidth="1"/>
    <col min="7" max="8" width="26.140625" style="122" customWidth="1"/>
    <col min="9" max="9" width="42.140625" style="122" bestFit="1" customWidth="1"/>
    <col min="10" max="10" width="28" style="122" customWidth="1"/>
    <col min="11" max="16384" width="8.7109375" style="120"/>
  </cols>
  <sheetData>
    <row r="1" spans="1:13" x14ac:dyDescent="0.25">
      <c r="A1" s="121" t="s">
        <v>3589</v>
      </c>
    </row>
    <row r="2" spans="1:13" x14ac:dyDescent="0.25">
      <c r="A2" s="121"/>
      <c r="E2" s="123" t="s">
        <v>3017</v>
      </c>
      <c r="F2" s="123" t="s">
        <v>3018</v>
      </c>
      <c r="G2" s="123" t="s">
        <v>3019</v>
      </c>
      <c r="H2" s="123" t="s">
        <v>3020</v>
      </c>
      <c r="I2" s="122" t="s">
        <v>3561</v>
      </c>
      <c r="J2" s="123" t="s">
        <v>3562</v>
      </c>
    </row>
    <row r="3" spans="1:13" x14ac:dyDescent="0.25">
      <c r="A3" s="121"/>
      <c r="I3" s="125" t="s">
        <v>3022</v>
      </c>
    </row>
    <row r="4" spans="1:13" s="124" customFormat="1" ht="15" customHeight="1" x14ac:dyDescent="0.15">
      <c r="B4" s="126" t="s">
        <v>3023</v>
      </c>
      <c r="C4" s="121" t="s">
        <v>0</v>
      </c>
      <c r="D4" s="121"/>
      <c r="E4" s="126" t="s">
        <v>3590</v>
      </c>
      <c r="F4" s="125" t="s">
        <v>3591</v>
      </c>
      <c r="G4" s="125" t="s">
        <v>3025</v>
      </c>
      <c r="H4" s="125" t="s">
        <v>3026</v>
      </c>
      <c r="I4" s="125" t="s">
        <v>3027</v>
      </c>
      <c r="J4" s="125" t="s">
        <v>3028</v>
      </c>
    </row>
    <row r="5" spans="1:13" x14ac:dyDescent="0.25">
      <c r="A5" s="121" t="s">
        <v>3029</v>
      </c>
    </row>
    <row r="6" spans="1:13" x14ac:dyDescent="0.25">
      <c r="B6" s="282" t="s">
        <v>254</v>
      </c>
      <c r="C6" s="120" t="s">
        <v>3148</v>
      </c>
      <c r="D6" s="120" t="s">
        <v>2804</v>
      </c>
      <c r="E6" s="122">
        <v>46.543332220103473</v>
      </c>
      <c r="F6" s="122">
        <v>25.07466255282586</v>
      </c>
      <c r="G6" s="122">
        <v>26.33</v>
      </c>
      <c r="H6" s="122">
        <v>1.92</v>
      </c>
      <c r="I6" s="122">
        <v>0</v>
      </c>
      <c r="J6" s="122">
        <v>99.87</v>
      </c>
      <c r="L6" s="374"/>
      <c r="M6" s="374"/>
    </row>
    <row r="7" spans="1:13" x14ac:dyDescent="0.25">
      <c r="B7" s="282" t="s">
        <v>298</v>
      </c>
      <c r="C7" s="120" t="s">
        <v>3149</v>
      </c>
      <c r="D7" s="120" t="s">
        <v>2805</v>
      </c>
      <c r="E7" s="122">
        <v>69.796531732239572</v>
      </c>
      <c r="F7" s="122">
        <v>28.711627236385482</v>
      </c>
      <c r="G7" s="122">
        <v>27.65</v>
      </c>
      <c r="H7" s="122">
        <v>1.92</v>
      </c>
      <c r="I7" s="122">
        <v>0</v>
      </c>
      <c r="J7" s="122">
        <v>128.08000000000001</v>
      </c>
      <c r="L7" s="374"/>
    </row>
    <row r="8" spans="1:13" x14ac:dyDescent="0.25">
      <c r="B8" s="282" t="s">
        <v>324</v>
      </c>
      <c r="C8" s="120" t="s">
        <v>3150</v>
      </c>
      <c r="D8" s="120" t="s">
        <v>2806</v>
      </c>
      <c r="E8" s="122">
        <v>95.34655557886407</v>
      </c>
      <c r="F8" s="122">
        <v>32.170843890642047</v>
      </c>
      <c r="G8" s="122">
        <v>30.19</v>
      </c>
      <c r="H8" s="122">
        <v>1.92</v>
      </c>
      <c r="I8" s="122">
        <v>0</v>
      </c>
      <c r="J8" s="122">
        <v>159.63</v>
      </c>
      <c r="L8" s="374"/>
    </row>
    <row r="9" spans="1:13" x14ac:dyDescent="0.25">
      <c r="B9" s="282" t="s">
        <v>128</v>
      </c>
      <c r="C9" s="120" t="s">
        <v>3151</v>
      </c>
      <c r="D9" s="120" t="s">
        <v>2807</v>
      </c>
      <c r="E9" s="122">
        <v>100.44</v>
      </c>
      <c r="F9" s="122">
        <v>33.479999999999997</v>
      </c>
      <c r="G9" s="122">
        <v>30.63</v>
      </c>
      <c r="H9" s="122">
        <v>1.92</v>
      </c>
      <c r="I9" s="122">
        <v>0</v>
      </c>
      <c r="J9" s="122">
        <v>166.47</v>
      </c>
      <c r="L9" s="374"/>
    </row>
    <row r="10" spans="1:13" x14ac:dyDescent="0.25">
      <c r="B10" s="282" t="s">
        <v>95</v>
      </c>
      <c r="C10" s="120" t="s">
        <v>3152</v>
      </c>
      <c r="D10" s="120" t="s">
        <v>2808</v>
      </c>
      <c r="E10" s="122">
        <v>137.83500000000001</v>
      </c>
      <c r="F10" s="122">
        <v>45.945</v>
      </c>
      <c r="G10" s="122">
        <v>30.16</v>
      </c>
      <c r="H10" s="122">
        <v>2.52</v>
      </c>
      <c r="I10" s="122">
        <v>0</v>
      </c>
      <c r="J10" s="122">
        <v>216.46</v>
      </c>
      <c r="L10" s="374"/>
    </row>
    <row r="11" spans="1:13" x14ac:dyDescent="0.25">
      <c r="B11" s="282" t="s">
        <v>327</v>
      </c>
      <c r="C11" s="120" t="s">
        <v>3153</v>
      </c>
      <c r="D11" s="120" t="s">
        <v>2809</v>
      </c>
      <c r="E11" s="122">
        <v>138.0975</v>
      </c>
      <c r="F11" s="122">
        <v>46.032499999999999</v>
      </c>
      <c r="G11" s="122">
        <v>30.07</v>
      </c>
      <c r="H11" s="122">
        <v>2.52</v>
      </c>
      <c r="I11" s="122">
        <v>0</v>
      </c>
      <c r="J11" s="122">
        <v>216.72</v>
      </c>
      <c r="L11" s="374"/>
    </row>
    <row r="12" spans="1:13" x14ac:dyDescent="0.25">
      <c r="B12" s="282" t="s">
        <v>247</v>
      </c>
      <c r="C12" s="120" t="s">
        <v>3154</v>
      </c>
      <c r="D12" s="120" t="s">
        <v>2810</v>
      </c>
      <c r="E12" s="122">
        <v>162.22500000000002</v>
      </c>
      <c r="F12" s="122">
        <v>54.075000000000003</v>
      </c>
      <c r="G12" s="122">
        <v>31.05</v>
      </c>
      <c r="H12" s="122">
        <v>2.52</v>
      </c>
      <c r="I12" s="122">
        <v>0</v>
      </c>
      <c r="J12" s="122">
        <v>249.87</v>
      </c>
      <c r="L12" s="374"/>
    </row>
    <row r="13" spans="1:13" x14ac:dyDescent="0.25">
      <c r="B13" s="282" t="s">
        <v>98</v>
      </c>
      <c r="C13" s="120" t="s">
        <v>3155</v>
      </c>
      <c r="D13" s="120" t="s">
        <v>2811</v>
      </c>
      <c r="E13" s="122">
        <v>189.3075</v>
      </c>
      <c r="F13" s="122">
        <v>63.102499999999999</v>
      </c>
      <c r="G13" s="122">
        <v>31.99</v>
      </c>
      <c r="H13" s="122">
        <v>3.04</v>
      </c>
      <c r="I13" s="122">
        <v>0</v>
      </c>
      <c r="J13" s="122">
        <v>287.44</v>
      </c>
      <c r="L13" s="374"/>
    </row>
    <row r="14" spans="1:13" x14ac:dyDescent="0.25">
      <c r="B14" s="282" t="s">
        <v>572</v>
      </c>
      <c r="C14" s="120" t="s">
        <v>3156</v>
      </c>
      <c r="D14" s="120" t="s">
        <v>2812</v>
      </c>
      <c r="E14" s="122">
        <v>134.35499999999999</v>
      </c>
      <c r="F14" s="122">
        <v>44.784999999999997</v>
      </c>
      <c r="G14" s="122">
        <v>29.26</v>
      </c>
      <c r="H14" s="122">
        <v>3.15</v>
      </c>
      <c r="I14" s="122">
        <v>0</v>
      </c>
      <c r="J14" s="122">
        <v>211.55</v>
      </c>
      <c r="L14" s="374"/>
    </row>
    <row r="15" spans="1:13" x14ac:dyDescent="0.25">
      <c r="B15" s="282" t="s">
        <v>384</v>
      </c>
      <c r="C15" s="120" t="s">
        <v>3157</v>
      </c>
      <c r="D15" s="120" t="s">
        <v>2813</v>
      </c>
      <c r="E15" s="122">
        <v>207.13499999999999</v>
      </c>
      <c r="F15" s="122">
        <v>69.045000000000002</v>
      </c>
      <c r="G15" s="122">
        <v>31.99</v>
      </c>
      <c r="H15" s="122">
        <v>2.52</v>
      </c>
      <c r="I15" s="122">
        <v>0</v>
      </c>
      <c r="J15" s="122">
        <v>310.69</v>
      </c>
      <c r="L15" s="374"/>
    </row>
    <row r="16" spans="1:13" x14ac:dyDescent="0.25">
      <c r="B16" s="282" t="s">
        <v>62</v>
      </c>
      <c r="C16" s="120" t="s">
        <v>3158</v>
      </c>
      <c r="D16" s="120" t="s">
        <v>2814</v>
      </c>
      <c r="E16" s="122">
        <v>111.83456371587619</v>
      </c>
      <c r="F16" s="122">
        <v>38.215066776522747</v>
      </c>
      <c r="G16" s="122">
        <v>30.64</v>
      </c>
      <c r="H16" s="122">
        <v>2.59</v>
      </c>
      <c r="I16" s="122">
        <v>0</v>
      </c>
      <c r="J16" s="122">
        <v>183.28</v>
      </c>
      <c r="L16" s="374"/>
    </row>
    <row r="17" spans="1:12" x14ac:dyDescent="0.25">
      <c r="A17" s="120"/>
      <c r="B17" s="282" t="s">
        <v>342</v>
      </c>
      <c r="C17" s="120" t="s">
        <v>3159</v>
      </c>
      <c r="D17" s="120" t="s">
        <v>2815</v>
      </c>
      <c r="E17" s="122">
        <v>122.73750000000001</v>
      </c>
      <c r="F17" s="122">
        <v>40.912500000000001</v>
      </c>
      <c r="G17" s="122">
        <v>31.09</v>
      </c>
      <c r="H17" s="122">
        <v>2.59</v>
      </c>
      <c r="I17" s="122">
        <v>0</v>
      </c>
      <c r="J17" s="122">
        <v>197.33</v>
      </c>
      <c r="L17" s="374"/>
    </row>
    <row r="18" spans="1:12" x14ac:dyDescent="0.25">
      <c r="A18" s="120"/>
      <c r="B18" s="282" t="s">
        <v>270</v>
      </c>
      <c r="C18" s="120" t="s">
        <v>3160</v>
      </c>
      <c r="D18" s="120" t="s">
        <v>2816</v>
      </c>
      <c r="E18" s="122">
        <v>161.22</v>
      </c>
      <c r="F18" s="122">
        <v>53.74</v>
      </c>
      <c r="G18" s="122">
        <v>31.09</v>
      </c>
      <c r="H18" s="122">
        <v>4</v>
      </c>
      <c r="I18" s="122">
        <v>0</v>
      </c>
      <c r="J18" s="122">
        <v>250.05</v>
      </c>
      <c r="L18" s="374"/>
    </row>
    <row r="19" spans="1:12" x14ac:dyDescent="0.25">
      <c r="A19" s="120"/>
      <c r="B19" s="282" t="s">
        <v>284</v>
      </c>
      <c r="C19" s="120" t="s">
        <v>3161</v>
      </c>
      <c r="D19" s="120" t="s">
        <v>2817</v>
      </c>
      <c r="E19" s="122">
        <v>161.5275</v>
      </c>
      <c r="F19" s="122">
        <v>53.842500000000001</v>
      </c>
      <c r="G19" s="122">
        <v>31.77</v>
      </c>
      <c r="H19" s="122">
        <v>4</v>
      </c>
      <c r="I19" s="122">
        <v>0</v>
      </c>
      <c r="J19" s="122">
        <v>251.14</v>
      </c>
      <c r="L19" s="374"/>
    </row>
    <row r="20" spans="1:12" x14ac:dyDescent="0.25">
      <c r="A20" s="120"/>
      <c r="B20" s="282" t="s">
        <v>164</v>
      </c>
      <c r="C20" s="120" t="s">
        <v>3162</v>
      </c>
      <c r="D20" s="120" t="s">
        <v>2818</v>
      </c>
      <c r="E20" s="122">
        <v>192.3075</v>
      </c>
      <c r="F20" s="122">
        <v>64.102500000000006</v>
      </c>
      <c r="G20" s="122">
        <v>32.75</v>
      </c>
      <c r="H20" s="122">
        <v>4</v>
      </c>
      <c r="I20" s="122">
        <v>0</v>
      </c>
      <c r="J20" s="122">
        <v>293.16000000000003</v>
      </c>
      <c r="L20" s="374"/>
    </row>
    <row r="21" spans="1:12" x14ac:dyDescent="0.25">
      <c r="A21" s="120"/>
      <c r="B21" s="282" t="s">
        <v>371</v>
      </c>
      <c r="C21" s="120" t="s">
        <v>3163</v>
      </c>
      <c r="D21" s="120" t="s">
        <v>2819</v>
      </c>
      <c r="E21" s="122">
        <v>219.40500000000003</v>
      </c>
      <c r="F21" s="122">
        <v>73.135000000000005</v>
      </c>
      <c r="G21" s="122">
        <v>33.69</v>
      </c>
      <c r="H21" s="122">
        <v>5.1100000000000003</v>
      </c>
      <c r="I21" s="122">
        <v>0</v>
      </c>
      <c r="J21" s="122">
        <v>331.34</v>
      </c>
      <c r="L21" s="374"/>
    </row>
    <row r="22" spans="1:12" x14ac:dyDescent="0.25">
      <c r="A22" s="120"/>
      <c r="B22" s="282" t="s">
        <v>570</v>
      </c>
      <c r="C22" s="120" t="s">
        <v>3164</v>
      </c>
      <c r="D22" s="120" t="s">
        <v>2820</v>
      </c>
      <c r="E22" s="122">
        <v>191.54249999999999</v>
      </c>
      <c r="F22" s="122">
        <v>63.847499999999997</v>
      </c>
      <c r="G22" s="122">
        <v>39.82</v>
      </c>
      <c r="H22" s="122">
        <v>5.42</v>
      </c>
      <c r="I22" s="122">
        <v>0</v>
      </c>
      <c r="J22" s="122">
        <v>300.63</v>
      </c>
      <c r="L22" s="374"/>
    </row>
    <row r="23" spans="1:12" x14ac:dyDescent="0.25">
      <c r="A23" s="120"/>
      <c r="B23" s="282" t="s">
        <v>130</v>
      </c>
      <c r="C23" s="120" t="s">
        <v>3165</v>
      </c>
      <c r="D23" s="120" t="s">
        <v>2821</v>
      </c>
      <c r="E23" s="122">
        <v>237.34499999999997</v>
      </c>
      <c r="F23" s="122">
        <v>79.114999999999995</v>
      </c>
      <c r="G23" s="122">
        <v>33.69</v>
      </c>
      <c r="H23" s="122">
        <v>4</v>
      </c>
      <c r="I23" s="122">
        <v>0</v>
      </c>
      <c r="J23" s="122">
        <v>354.15</v>
      </c>
      <c r="L23" s="374"/>
    </row>
    <row r="24" spans="1:12" x14ac:dyDescent="0.25">
      <c r="A24" s="120"/>
      <c r="D24" s="120" t="s">
        <v>1164</v>
      </c>
      <c r="E24" s="122"/>
      <c r="L24" s="374"/>
    </row>
    <row r="25" spans="1:12" x14ac:dyDescent="0.25">
      <c r="A25" s="120"/>
      <c r="B25" s="282" t="s">
        <v>375</v>
      </c>
      <c r="C25" s="120" t="s">
        <v>3166</v>
      </c>
      <c r="D25" s="120" t="s">
        <v>2822</v>
      </c>
      <c r="E25" s="122">
        <v>52.536126454209516</v>
      </c>
      <c r="F25" s="122">
        <v>24.555894086642635</v>
      </c>
      <c r="G25" s="122">
        <v>18.25</v>
      </c>
      <c r="H25" s="122">
        <v>2.2799999999999998</v>
      </c>
      <c r="I25" s="122">
        <v>0</v>
      </c>
      <c r="J25" s="122">
        <v>97.62</v>
      </c>
      <c r="L25" s="374"/>
    </row>
    <row r="26" spans="1:12" x14ac:dyDescent="0.25">
      <c r="A26" s="120"/>
      <c r="B26" s="282" t="s">
        <v>315</v>
      </c>
      <c r="C26" s="120" t="s">
        <v>3167</v>
      </c>
      <c r="D26" s="120" t="s">
        <v>2823</v>
      </c>
      <c r="E26" s="122">
        <v>111.16601617252569</v>
      </c>
      <c r="F26" s="122">
        <v>27.819209796349149</v>
      </c>
      <c r="G26" s="122">
        <v>18.25</v>
      </c>
      <c r="H26" s="122">
        <v>2.2799999999999998</v>
      </c>
      <c r="I26" s="122">
        <v>0</v>
      </c>
      <c r="J26" s="122">
        <v>159.52000000000001</v>
      </c>
      <c r="L26" s="374"/>
    </row>
    <row r="27" spans="1:12" x14ac:dyDescent="0.25">
      <c r="A27" s="120"/>
      <c r="B27" s="282" t="s">
        <v>213</v>
      </c>
      <c r="C27" s="120" t="s">
        <v>3168</v>
      </c>
      <c r="D27" s="120" t="s">
        <v>2824</v>
      </c>
      <c r="E27" s="122">
        <v>105.7189511087348</v>
      </c>
      <c r="F27" s="122">
        <v>34.003719254977142</v>
      </c>
      <c r="G27" s="122">
        <v>24.28</v>
      </c>
      <c r="H27" s="122">
        <v>5.55</v>
      </c>
      <c r="I27" s="122">
        <v>0</v>
      </c>
      <c r="J27" s="122">
        <v>169.55</v>
      </c>
      <c r="L27" s="374"/>
    </row>
    <row r="28" spans="1:12" x14ac:dyDescent="0.25">
      <c r="A28" s="120"/>
      <c r="B28" s="282" t="s">
        <v>335</v>
      </c>
      <c r="C28" s="120" t="s">
        <v>3169</v>
      </c>
      <c r="D28" s="120" t="s">
        <v>2825</v>
      </c>
      <c r="E28" s="122">
        <v>107.3329333215767</v>
      </c>
      <c r="F28" s="122">
        <v>37.901274069223369</v>
      </c>
      <c r="G28" s="122">
        <v>24.28</v>
      </c>
      <c r="H28" s="122">
        <v>5.55</v>
      </c>
      <c r="I28" s="122">
        <v>0</v>
      </c>
      <c r="J28" s="122">
        <v>175.06</v>
      </c>
      <c r="L28" s="374"/>
    </row>
    <row r="29" spans="1:12" x14ac:dyDescent="0.25">
      <c r="A29" s="120"/>
      <c r="B29" s="282" t="s">
        <v>194</v>
      </c>
      <c r="C29" s="120" t="s">
        <v>3170</v>
      </c>
      <c r="D29" s="120" t="s">
        <v>2826</v>
      </c>
      <c r="E29" s="122">
        <v>111.44359364923433</v>
      </c>
      <c r="F29" s="122">
        <v>42.372538673894169</v>
      </c>
      <c r="G29" s="122">
        <v>33.020000000000003</v>
      </c>
      <c r="H29" s="122">
        <v>5.55</v>
      </c>
      <c r="I29" s="122">
        <v>0</v>
      </c>
      <c r="J29" s="122">
        <v>192.39</v>
      </c>
      <c r="L29" s="374"/>
    </row>
    <row r="30" spans="1:12" x14ac:dyDescent="0.25">
      <c r="A30" s="120"/>
      <c r="B30" s="282" t="s">
        <v>154</v>
      </c>
      <c r="C30" s="120" t="s">
        <v>3171</v>
      </c>
      <c r="D30" s="120" t="s">
        <v>2827</v>
      </c>
      <c r="E30" s="122">
        <v>239.40715200665261</v>
      </c>
      <c r="F30" s="122">
        <v>58.444011775354397</v>
      </c>
      <c r="G30" s="122">
        <v>29.95</v>
      </c>
      <c r="H30" s="122">
        <v>5.55</v>
      </c>
      <c r="I30" s="122">
        <v>0</v>
      </c>
      <c r="J30" s="122">
        <v>333.35</v>
      </c>
      <c r="L30" s="374"/>
    </row>
    <row r="31" spans="1:12" x14ac:dyDescent="0.25">
      <c r="A31" s="120"/>
      <c r="B31" s="282" t="s">
        <v>260</v>
      </c>
      <c r="C31" s="120" t="s">
        <v>3172</v>
      </c>
      <c r="D31" s="120" t="s">
        <v>2828</v>
      </c>
      <c r="E31" s="122">
        <v>270.95391453621744</v>
      </c>
      <c r="F31" s="122">
        <v>60.666130757409924</v>
      </c>
      <c r="G31" s="122">
        <v>34.25</v>
      </c>
      <c r="H31" s="122">
        <v>5.55</v>
      </c>
      <c r="I31" s="122">
        <v>0</v>
      </c>
      <c r="J31" s="122">
        <v>371.42</v>
      </c>
      <c r="L31" s="374"/>
    </row>
    <row r="32" spans="1:12" x14ac:dyDescent="0.25">
      <c r="A32" s="120"/>
      <c r="B32" s="282" t="s">
        <v>295</v>
      </c>
      <c r="C32" s="120" t="s">
        <v>3173</v>
      </c>
      <c r="D32" s="120" t="s">
        <v>2829</v>
      </c>
      <c r="E32" s="122">
        <v>67.044960320142977</v>
      </c>
      <c r="F32" s="122">
        <v>28.622760641137546</v>
      </c>
      <c r="G32" s="122">
        <v>28.42</v>
      </c>
      <c r="H32" s="122">
        <v>2.89</v>
      </c>
      <c r="I32" s="122">
        <v>0</v>
      </c>
      <c r="J32" s="122">
        <v>126.98</v>
      </c>
      <c r="L32" s="374"/>
    </row>
    <row r="33" spans="1:12" x14ac:dyDescent="0.25">
      <c r="A33" s="120"/>
      <c r="B33" s="282" t="s">
        <v>70</v>
      </c>
      <c r="C33" s="120" t="s">
        <v>3174</v>
      </c>
      <c r="D33" s="120" t="s">
        <v>2830</v>
      </c>
      <c r="E33" s="122">
        <v>134.38041500331164</v>
      </c>
      <c r="F33" s="122">
        <v>32.45037511682655</v>
      </c>
      <c r="G33" s="122">
        <v>28.42</v>
      </c>
      <c r="H33" s="122">
        <v>2.89</v>
      </c>
      <c r="I33" s="122">
        <v>0</v>
      </c>
      <c r="J33" s="122">
        <v>198.14</v>
      </c>
      <c r="L33" s="374"/>
    </row>
    <row r="34" spans="1:12" x14ac:dyDescent="0.25">
      <c r="A34" s="120"/>
      <c r="B34" s="282" t="s">
        <v>322</v>
      </c>
      <c r="C34" s="120" t="s">
        <v>3175</v>
      </c>
      <c r="D34" s="120" t="s">
        <v>2831</v>
      </c>
      <c r="E34" s="122">
        <v>130.37732423354248</v>
      </c>
      <c r="F34" s="122">
        <v>39.428896098586179</v>
      </c>
      <c r="G34" s="122">
        <v>34.44</v>
      </c>
      <c r="H34" s="122">
        <v>6.09</v>
      </c>
      <c r="I34" s="122">
        <v>0</v>
      </c>
      <c r="J34" s="122">
        <v>210.34</v>
      </c>
      <c r="L34" s="374"/>
    </row>
    <row r="35" spans="1:12" x14ac:dyDescent="0.25">
      <c r="A35" s="120"/>
      <c r="B35" s="282" t="s">
        <v>320</v>
      </c>
      <c r="C35" s="120" t="s">
        <v>3176</v>
      </c>
      <c r="D35" s="120" t="s">
        <v>2832</v>
      </c>
      <c r="E35" s="122">
        <v>140.3144108138537</v>
      </c>
      <c r="F35" s="122">
        <v>41.707991549647701</v>
      </c>
      <c r="G35" s="122">
        <v>34.44</v>
      </c>
      <c r="H35" s="122">
        <v>6.09</v>
      </c>
      <c r="I35" s="122">
        <v>0</v>
      </c>
      <c r="J35" s="122">
        <v>222.55</v>
      </c>
      <c r="L35" s="374"/>
    </row>
    <row r="36" spans="1:12" x14ac:dyDescent="0.25">
      <c r="A36" s="120"/>
      <c r="B36" s="282" t="s">
        <v>346</v>
      </c>
      <c r="C36" s="120" t="s">
        <v>3177</v>
      </c>
      <c r="D36" s="120" t="s">
        <v>2833</v>
      </c>
      <c r="E36" s="122">
        <v>137.8101489909757</v>
      </c>
      <c r="F36" s="122">
        <v>45.215623573858203</v>
      </c>
      <c r="G36" s="122">
        <v>44.29</v>
      </c>
      <c r="H36" s="122">
        <v>6.09</v>
      </c>
      <c r="I36" s="122">
        <v>0</v>
      </c>
      <c r="J36" s="122">
        <v>233.41</v>
      </c>
      <c r="L36" s="374"/>
    </row>
    <row r="37" spans="1:12" x14ac:dyDescent="0.25">
      <c r="A37" s="120"/>
      <c r="B37" s="282" t="s">
        <v>243</v>
      </c>
      <c r="C37" s="120" t="s">
        <v>3178</v>
      </c>
      <c r="D37" s="120" t="s">
        <v>2834</v>
      </c>
      <c r="E37" s="122">
        <v>258.78002737377602</v>
      </c>
      <c r="F37" s="122">
        <v>62.028859070863987</v>
      </c>
      <c r="G37" s="122">
        <v>39.28</v>
      </c>
      <c r="H37" s="122">
        <v>6.09</v>
      </c>
      <c r="I37" s="122">
        <v>0</v>
      </c>
      <c r="J37" s="122">
        <v>366.18</v>
      </c>
      <c r="L37" s="374"/>
    </row>
    <row r="38" spans="1:12" x14ac:dyDescent="0.25">
      <c r="A38" s="120"/>
      <c r="B38" s="282" t="s">
        <v>151</v>
      </c>
      <c r="C38" s="120" t="s">
        <v>3179</v>
      </c>
      <c r="D38" s="120" t="s">
        <v>2835</v>
      </c>
      <c r="E38" s="122">
        <v>307.00432709147509</v>
      </c>
      <c r="F38" s="122">
        <v>67.215619545734327</v>
      </c>
      <c r="G38" s="122">
        <v>49.37</v>
      </c>
      <c r="H38" s="122">
        <v>6.09</v>
      </c>
      <c r="I38" s="122">
        <v>0</v>
      </c>
      <c r="J38" s="122">
        <v>429.68</v>
      </c>
      <c r="L38" s="374"/>
    </row>
    <row r="39" spans="1:12" x14ac:dyDescent="0.25">
      <c r="A39" s="120"/>
      <c r="D39" s="120" t="s">
        <v>1164</v>
      </c>
      <c r="E39" s="122"/>
      <c r="L39" s="374"/>
    </row>
    <row r="40" spans="1:12" x14ac:dyDescent="0.25">
      <c r="A40" s="120"/>
      <c r="B40" s="282" t="s">
        <v>175</v>
      </c>
      <c r="C40" s="120" t="s">
        <v>3180</v>
      </c>
      <c r="D40" s="120" t="s">
        <v>2836</v>
      </c>
      <c r="E40" s="122">
        <v>34.807575584330735</v>
      </c>
      <c r="F40" s="122">
        <v>21.937928070118478</v>
      </c>
      <c r="G40" s="122">
        <v>24.54</v>
      </c>
      <c r="H40" s="122">
        <v>1.18</v>
      </c>
      <c r="I40" s="122">
        <v>0</v>
      </c>
      <c r="J40" s="122">
        <v>82.47</v>
      </c>
      <c r="L40" s="374"/>
    </row>
    <row r="41" spans="1:12" x14ac:dyDescent="0.25">
      <c r="A41" s="120"/>
      <c r="B41" s="282" t="s">
        <v>67</v>
      </c>
      <c r="C41" s="120" t="s">
        <v>3181</v>
      </c>
      <c r="D41" s="120" t="s">
        <v>2837</v>
      </c>
      <c r="E41" s="122">
        <v>47.537407046480602</v>
      </c>
      <c r="F41" s="122">
        <v>22.688109985819462</v>
      </c>
      <c r="G41" s="122">
        <v>24.54</v>
      </c>
      <c r="H41" s="122">
        <v>1.18</v>
      </c>
      <c r="I41" s="122">
        <v>0</v>
      </c>
      <c r="J41" s="122">
        <v>95.95</v>
      </c>
      <c r="L41" s="374"/>
    </row>
    <row r="42" spans="1:12" x14ac:dyDescent="0.25">
      <c r="A42" s="120"/>
      <c r="B42" s="282" t="s">
        <v>277</v>
      </c>
      <c r="C42" s="120" t="s">
        <v>3182</v>
      </c>
      <c r="D42" s="120" t="s">
        <v>2838</v>
      </c>
      <c r="E42" s="122">
        <v>64.694337868829408</v>
      </c>
      <c r="F42" s="122">
        <v>29.848205264218375</v>
      </c>
      <c r="G42" s="122">
        <v>32.01</v>
      </c>
      <c r="H42" s="122">
        <v>2.17</v>
      </c>
      <c r="I42" s="122">
        <v>0</v>
      </c>
      <c r="J42" s="122">
        <v>128.72</v>
      </c>
      <c r="L42" s="374"/>
    </row>
    <row r="43" spans="1:12" x14ac:dyDescent="0.25">
      <c r="A43" s="120"/>
      <c r="B43" s="282" t="s">
        <v>149</v>
      </c>
      <c r="C43" s="120" t="s">
        <v>3183</v>
      </c>
      <c r="D43" s="120" t="s">
        <v>2839</v>
      </c>
      <c r="E43" s="122">
        <v>78.971100267037173</v>
      </c>
      <c r="F43" s="122">
        <v>29.95478181315724</v>
      </c>
      <c r="G43" s="122">
        <v>32.01</v>
      </c>
      <c r="H43" s="122">
        <v>2.17</v>
      </c>
      <c r="I43" s="122">
        <v>0</v>
      </c>
      <c r="J43" s="122">
        <v>143.11000000000001</v>
      </c>
      <c r="L43" s="374"/>
    </row>
    <row r="44" spans="1:12" x14ac:dyDescent="0.25">
      <c r="A44" s="120"/>
      <c r="B44" s="282" t="s">
        <v>109</v>
      </c>
      <c r="C44" s="120" t="s">
        <v>3184</v>
      </c>
      <c r="D44" s="120" t="s">
        <v>2840</v>
      </c>
      <c r="E44" s="122">
        <v>74.638907118199299</v>
      </c>
      <c r="F44" s="122">
        <v>26.029747121297458</v>
      </c>
      <c r="G44" s="122">
        <v>24.54</v>
      </c>
      <c r="H44" s="122">
        <v>1.18</v>
      </c>
      <c r="I44" s="122">
        <v>0</v>
      </c>
      <c r="J44" s="122">
        <v>126.39</v>
      </c>
      <c r="L44" s="374"/>
    </row>
    <row r="45" spans="1:12" x14ac:dyDescent="0.25">
      <c r="A45" s="120"/>
      <c r="B45" s="282" t="s">
        <v>192</v>
      </c>
      <c r="C45" s="120" t="s">
        <v>3185</v>
      </c>
      <c r="D45" s="120" t="s">
        <v>2841</v>
      </c>
      <c r="E45" s="122">
        <v>98.599582997768138</v>
      </c>
      <c r="F45" s="122">
        <v>28.960067580183981</v>
      </c>
      <c r="G45" s="122">
        <v>24.54</v>
      </c>
      <c r="H45" s="122">
        <v>1.18</v>
      </c>
      <c r="I45" s="122">
        <v>0</v>
      </c>
      <c r="J45" s="122">
        <v>153.28</v>
      </c>
      <c r="L45" s="374"/>
    </row>
    <row r="46" spans="1:12" x14ac:dyDescent="0.25">
      <c r="A46" s="120"/>
      <c r="B46" s="282" t="s">
        <v>280</v>
      </c>
      <c r="C46" s="120" t="s">
        <v>3186</v>
      </c>
      <c r="D46" s="120" t="s">
        <v>2842</v>
      </c>
      <c r="E46" s="122">
        <v>122.44935883456949</v>
      </c>
      <c r="F46" s="122">
        <v>31.631037328110953</v>
      </c>
      <c r="G46" s="122">
        <v>22.41</v>
      </c>
      <c r="H46" s="122">
        <v>5.33</v>
      </c>
      <c r="I46" s="122">
        <v>0</v>
      </c>
      <c r="J46" s="122">
        <v>181.82</v>
      </c>
      <c r="L46" s="374"/>
    </row>
    <row r="47" spans="1:12" x14ac:dyDescent="0.25">
      <c r="A47" s="120"/>
      <c r="B47" s="282" t="s">
        <v>368</v>
      </c>
      <c r="C47" s="120" t="s">
        <v>3187</v>
      </c>
      <c r="D47" s="120" t="s">
        <v>2843</v>
      </c>
      <c r="E47" s="122">
        <v>102.8111193948871</v>
      </c>
      <c r="F47" s="122">
        <v>30.43711404185585</v>
      </c>
      <c r="G47" s="122">
        <v>22.41</v>
      </c>
      <c r="H47" s="122">
        <v>3.19</v>
      </c>
      <c r="I47" s="122">
        <v>0</v>
      </c>
      <c r="J47" s="122">
        <v>158.85</v>
      </c>
      <c r="L47" s="374"/>
    </row>
    <row r="48" spans="1:12" x14ac:dyDescent="0.25">
      <c r="A48" s="120"/>
      <c r="B48" s="282" t="s">
        <v>81</v>
      </c>
      <c r="C48" s="120" t="s">
        <v>3188</v>
      </c>
      <c r="D48" s="120" t="s">
        <v>2844</v>
      </c>
      <c r="E48" s="122">
        <v>134.74597532761865</v>
      </c>
      <c r="F48" s="122">
        <v>32.470386738555966</v>
      </c>
      <c r="G48" s="122">
        <v>22.41</v>
      </c>
      <c r="H48" s="122">
        <v>5.33</v>
      </c>
      <c r="I48" s="122">
        <v>0</v>
      </c>
      <c r="J48" s="122">
        <v>194.96</v>
      </c>
      <c r="L48" s="374"/>
    </row>
    <row r="49" spans="1:12" x14ac:dyDescent="0.25">
      <c r="A49" s="120"/>
      <c r="B49" s="282" t="s">
        <v>237</v>
      </c>
      <c r="C49" s="120" t="s">
        <v>3189</v>
      </c>
      <c r="D49" s="120" t="s">
        <v>2845</v>
      </c>
      <c r="E49" s="122">
        <v>146.33721536652101</v>
      </c>
      <c r="F49" s="122">
        <v>35.003950105470224</v>
      </c>
      <c r="G49" s="122">
        <v>30.18</v>
      </c>
      <c r="H49" s="122">
        <v>5.33</v>
      </c>
      <c r="I49" s="122">
        <v>0</v>
      </c>
      <c r="J49" s="122">
        <v>216.85</v>
      </c>
      <c r="L49" s="374"/>
    </row>
    <row r="50" spans="1:12" x14ac:dyDescent="0.25">
      <c r="A50" s="120"/>
      <c r="B50" s="282" t="s">
        <v>75</v>
      </c>
      <c r="C50" s="120" t="s">
        <v>3190</v>
      </c>
      <c r="D50" s="120" t="s">
        <v>2846</v>
      </c>
      <c r="E50" s="122">
        <v>103.53397169826503</v>
      </c>
      <c r="F50" s="122">
        <v>32.62411579284327</v>
      </c>
      <c r="G50" s="122">
        <v>32.01</v>
      </c>
      <c r="H50" s="122">
        <v>2.17</v>
      </c>
      <c r="I50" s="122">
        <v>0</v>
      </c>
      <c r="J50" s="122">
        <v>170.34</v>
      </c>
      <c r="L50" s="374"/>
    </row>
    <row r="51" spans="1:12" x14ac:dyDescent="0.25">
      <c r="A51" s="120"/>
      <c r="B51" s="282" t="s">
        <v>83</v>
      </c>
      <c r="C51" s="120" t="s">
        <v>3191</v>
      </c>
      <c r="D51" s="120" t="s">
        <v>2847</v>
      </c>
      <c r="E51" s="122">
        <v>127.75712820769316</v>
      </c>
      <c r="F51" s="122">
        <v>35.658461229047155</v>
      </c>
      <c r="G51" s="122">
        <v>32.01</v>
      </c>
      <c r="H51" s="122">
        <v>2.17</v>
      </c>
      <c r="I51" s="122">
        <v>0</v>
      </c>
      <c r="J51" s="122">
        <v>197.6</v>
      </c>
      <c r="L51" s="374"/>
    </row>
    <row r="52" spans="1:12" x14ac:dyDescent="0.25">
      <c r="A52" s="120"/>
      <c r="B52" s="282" t="s">
        <v>170</v>
      </c>
      <c r="C52" s="120" t="s">
        <v>3192</v>
      </c>
      <c r="D52" s="120" t="s">
        <v>2848</v>
      </c>
      <c r="E52" s="122">
        <v>160.97001075471684</v>
      </c>
      <c r="F52" s="122">
        <v>41.569837235844453</v>
      </c>
      <c r="G52" s="122">
        <v>31.3</v>
      </c>
      <c r="H52" s="122">
        <v>6.18</v>
      </c>
      <c r="I52" s="122">
        <v>0</v>
      </c>
      <c r="J52" s="122">
        <v>240.02</v>
      </c>
      <c r="L52" s="374"/>
    </row>
    <row r="53" spans="1:12" x14ac:dyDescent="0.25">
      <c r="A53" s="120"/>
      <c r="B53" s="282" t="s">
        <v>50</v>
      </c>
      <c r="C53" s="120" t="s">
        <v>3193</v>
      </c>
      <c r="D53" s="120" t="s">
        <v>2849</v>
      </c>
      <c r="E53" s="122">
        <v>141.00179463275623</v>
      </c>
      <c r="F53" s="122">
        <v>39.5605831499945</v>
      </c>
      <c r="G53" s="122">
        <v>31.3</v>
      </c>
      <c r="H53" s="122">
        <v>4.0199999999999996</v>
      </c>
      <c r="I53" s="122">
        <v>0</v>
      </c>
      <c r="J53" s="122">
        <v>215.88</v>
      </c>
      <c r="L53" s="374"/>
    </row>
    <row r="54" spans="1:12" x14ac:dyDescent="0.25">
      <c r="A54" s="120"/>
      <c r="B54" s="282" t="s">
        <v>120</v>
      </c>
      <c r="C54" s="120" t="s">
        <v>3194</v>
      </c>
      <c r="D54" s="120" t="s">
        <v>2850</v>
      </c>
      <c r="E54" s="122">
        <v>177.8121763928053</v>
      </c>
      <c r="F54" s="122">
        <v>44.653296951431479</v>
      </c>
      <c r="G54" s="122">
        <v>31.3</v>
      </c>
      <c r="H54" s="122">
        <v>6.17</v>
      </c>
      <c r="I54" s="122">
        <v>0</v>
      </c>
      <c r="J54" s="122">
        <v>259.94</v>
      </c>
      <c r="L54" s="374"/>
    </row>
    <row r="55" spans="1:12" x14ac:dyDescent="0.25">
      <c r="A55" s="120"/>
      <c r="B55" s="282" t="s">
        <v>199</v>
      </c>
      <c r="C55" s="120" t="s">
        <v>3195</v>
      </c>
      <c r="D55" s="120" t="s">
        <v>2851</v>
      </c>
      <c r="E55" s="122">
        <v>203.62725389461474</v>
      </c>
      <c r="F55" s="122">
        <v>45.886371239854732</v>
      </c>
      <c r="G55" s="122">
        <v>40.97</v>
      </c>
      <c r="H55" s="122">
        <v>6.18</v>
      </c>
      <c r="I55" s="122">
        <v>0</v>
      </c>
      <c r="J55" s="122">
        <v>296.66000000000003</v>
      </c>
      <c r="L55" s="374"/>
    </row>
    <row r="56" spans="1:12" x14ac:dyDescent="0.25">
      <c r="A56" s="120"/>
      <c r="B56" s="282" t="s">
        <v>313</v>
      </c>
      <c r="C56" s="120" t="s">
        <v>3196</v>
      </c>
      <c r="D56" s="120" t="s">
        <v>2852</v>
      </c>
      <c r="E56" s="122">
        <v>86.21858950541484</v>
      </c>
      <c r="F56" s="122">
        <v>30.373152996606457</v>
      </c>
      <c r="G56" s="122">
        <v>24.54</v>
      </c>
      <c r="H56" s="122">
        <v>2.41</v>
      </c>
      <c r="I56" s="122">
        <v>0</v>
      </c>
      <c r="J56" s="122">
        <v>143.54</v>
      </c>
      <c r="L56" s="374"/>
    </row>
    <row r="57" spans="1:12" x14ac:dyDescent="0.25">
      <c r="A57" s="120"/>
      <c r="B57" s="282" t="s">
        <v>185</v>
      </c>
      <c r="C57" s="120" t="s">
        <v>3197</v>
      </c>
      <c r="D57" s="120" t="s">
        <v>2853</v>
      </c>
      <c r="E57" s="122">
        <v>117.15381127840296</v>
      </c>
      <c r="F57" s="122">
        <v>34.945582798653817</v>
      </c>
      <c r="G57" s="122">
        <v>24.54</v>
      </c>
      <c r="H57" s="122">
        <v>2.41</v>
      </c>
      <c r="I57" s="122">
        <v>0</v>
      </c>
      <c r="J57" s="122">
        <v>179.05</v>
      </c>
      <c r="L57" s="374"/>
    </row>
    <row r="58" spans="1:12" x14ac:dyDescent="0.25">
      <c r="A58" s="120"/>
      <c r="B58" s="282" t="s">
        <v>226</v>
      </c>
      <c r="C58" s="120" t="s">
        <v>3198</v>
      </c>
      <c r="D58" s="120" t="s">
        <v>2854</v>
      </c>
      <c r="E58" s="122">
        <v>151.5464850502357</v>
      </c>
      <c r="F58" s="122">
        <v>39.167682717785944</v>
      </c>
      <c r="G58" s="122">
        <v>26.52</v>
      </c>
      <c r="H58" s="122">
        <v>7.95</v>
      </c>
      <c r="I58" s="122">
        <v>0</v>
      </c>
      <c r="J58" s="122">
        <v>225.18</v>
      </c>
      <c r="L58" s="374"/>
    </row>
    <row r="59" spans="1:12" x14ac:dyDescent="0.25">
      <c r="A59" s="120"/>
      <c r="B59" s="282" t="s">
        <v>91</v>
      </c>
      <c r="C59" s="120" t="s">
        <v>3199</v>
      </c>
      <c r="D59" s="120" t="s">
        <v>2855</v>
      </c>
      <c r="E59" s="122">
        <v>125.53112951507032</v>
      </c>
      <c r="F59" s="122">
        <v>36.957718627927548</v>
      </c>
      <c r="G59" s="122">
        <v>26.52</v>
      </c>
      <c r="H59" s="122">
        <v>5.72</v>
      </c>
      <c r="I59" s="122">
        <v>0</v>
      </c>
      <c r="J59" s="122">
        <v>194.73</v>
      </c>
      <c r="L59" s="374"/>
    </row>
    <row r="60" spans="1:12" x14ac:dyDescent="0.25">
      <c r="A60" s="120"/>
      <c r="B60" s="282" t="s">
        <v>382</v>
      </c>
      <c r="C60" s="120" t="s">
        <v>3200</v>
      </c>
      <c r="D60" s="120" t="s">
        <v>2856</v>
      </c>
      <c r="E60" s="122">
        <v>193.54835158358637</v>
      </c>
      <c r="F60" s="122">
        <v>45.962254898072935</v>
      </c>
      <c r="G60" s="122">
        <v>26.52</v>
      </c>
      <c r="H60" s="122">
        <v>7.95</v>
      </c>
      <c r="I60" s="122">
        <v>0</v>
      </c>
      <c r="J60" s="122">
        <v>273.98</v>
      </c>
      <c r="L60" s="374"/>
    </row>
    <row r="61" spans="1:12" x14ac:dyDescent="0.25">
      <c r="A61" s="120"/>
      <c r="B61" s="282" t="s">
        <v>122</v>
      </c>
      <c r="C61" s="120" t="s">
        <v>3201</v>
      </c>
      <c r="D61" s="120" t="s">
        <v>2857</v>
      </c>
      <c r="E61" s="122">
        <v>181.55492500965315</v>
      </c>
      <c r="F61" s="122">
        <v>43.298425080202847</v>
      </c>
      <c r="G61" s="122">
        <v>34.299999999999997</v>
      </c>
      <c r="H61" s="122">
        <v>7.95</v>
      </c>
      <c r="I61" s="122">
        <v>0</v>
      </c>
      <c r="J61" s="122">
        <v>267.10000000000002</v>
      </c>
      <c r="L61" s="374"/>
    </row>
    <row r="62" spans="1:12" x14ac:dyDescent="0.25">
      <c r="A62" s="120"/>
      <c r="B62" s="282" t="s">
        <v>115</v>
      </c>
      <c r="C62" s="120" t="s">
        <v>3202</v>
      </c>
      <c r="D62" s="120" t="s">
        <v>2858</v>
      </c>
      <c r="E62" s="122">
        <v>113.44503338646393</v>
      </c>
      <c r="F62" s="122">
        <v>37.235295828100512</v>
      </c>
      <c r="G62" s="122">
        <v>32.01</v>
      </c>
      <c r="H62" s="122">
        <v>3.41</v>
      </c>
      <c r="I62" s="122">
        <v>0</v>
      </c>
      <c r="J62" s="122">
        <v>186.1</v>
      </c>
      <c r="L62" s="374"/>
    </row>
    <row r="63" spans="1:12" x14ac:dyDescent="0.25">
      <c r="A63" s="120"/>
      <c r="B63" s="282" t="s">
        <v>363</v>
      </c>
      <c r="C63" s="120" t="s">
        <v>3203</v>
      </c>
      <c r="D63" s="120" t="s">
        <v>2859</v>
      </c>
      <c r="E63" s="122">
        <v>141.84622070128628</v>
      </c>
      <c r="F63" s="122">
        <v>41.708534181536585</v>
      </c>
      <c r="G63" s="122">
        <v>32.01</v>
      </c>
      <c r="H63" s="122">
        <v>3.41</v>
      </c>
      <c r="I63" s="122">
        <v>0</v>
      </c>
      <c r="J63" s="122">
        <v>218.97</v>
      </c>
      <c r="L63" s="374"/>
    </row>
    <row r="64" spans="1:12" x14ac:dyDescent="0.25">
      <c r="A64" s="120"/>
      <c r="B64" s="282" t="s">
        <v>73</v>
      </c>
      <c r="C64" s="120" t="s">
        <v>3204</v>
      </c>
      <c r="D64" s="120" t="s">
        <v>2860</v>
      </c>
      <c r="E64" s="122">
        <v>187.5694836139667</v>
      </c>
      <c r="F64" s="122">
        <v>48.961158404813233</v>
      </c>
      <c r="G64" s="122">
        <v>35.42</v>
      </c>
      <c r="H64" s="122">
        <v>8.81</v>
      </c>
      <c r="I64" s="122">
        <v>0</v>
      </c>
      <c r="J64" s="122">
        <v>280.76</v>
      </c>
      <c r="L64" s="374"/>
    </row>
    <row r="65" spans="1:12" x14ac:dyDescent="0.25">
      <c r="A65" s="120"/>
      <c r="B65" s="282" t="s">
        <v>60</v>
      </c>
      <c r="C65" s="120" t="s">
        <v>3205</v>
      </c>
      <c r="D65" s="120" t="s">
        <v>2861</v>
      </c>
      <c r="E65" s="122">
        <v>163.31326574816211</v>
      </c>
      <c r="F65" s="122">
        <v>46.102594212460048</v>
      </c>
      <c r="G65" s="122">
        <v>35.42</v>
      </c>
      <c r="H65" s="122">
        <v>6.54</v>
      </c>
      <c r="I65" s="122">
        <v>0</v>
      </c>
      <c r="J65" s="122">
        <v>251.38</v>
      </c>
      <c r="L65" s="374"/>
    </row>
    <row r="66" spans="1:12" x14ac:dyDescent="0.25">
      <c r="A66" s="120"/>
      <c r="B66" s="282" t="s">
        <v>161</v>
      </c>
      <c r="C66" s="120" t="s">
        <v>3206</v>
      </c>
      <c r="D66" s="120" t="s">
        <v>2862</v>
      </c>
      <c r="E66" s="122">
        <v>246.52230375172337</v>
      </c>
      <c r="F66" s="122">
        <v>60.121344118170327</v>
      </c>
      <c r="G66" s="122">
        <v>35.42</v>
      </c>
      <c r="H66" s="122">
        <v>8.81</v>
      </c>
      <c r="I66" s="122">
        <v>0</v>
      </c>
      <c r="J66" s="122">
        <v>350.87</v>
      </c>
      <c r="L66" s="374"/>
    </row>
    <row r="67" spans="1:12" x14ac:dyDescent="0.25">
      <c r="A67" s="120"/>
      <c r="B67" s="282" t="s">
        <v>111</v>
      </c>
      <c r="C67" s="120" t="s">
        <v>3207</v>
      </c>
      <c r="D67" s="120" t="s">
        <v>2863</v>
      </c>
      <c r="E67" s="122">
        <v>235.01930860479786</v>
      </c>
      <c r="F67" s="122">
        <v>56.500605191932316</v>
      </c>
      <c r="G67" s="122">
        <v>45.08</v>
      </c>
      <c r="H67" s="122">
        <v>8.81</v>
      </c>
      <c r="I67" s="122">
        <v>0</v>
      </c>
      <c r="J67" s="122">
        <v>345.41</v>
      </c>
      <c r="L67" s="374"/>
    </row>
    <row r="68" spans="1:12" x14ac:dyDescent="0.25">
      <c r="A68" s="120"/>
      <c r="D68" s="120" t="s">
        <v>1164</v>
      </c>
      <c r="E68" s="122"/>
      <c r="L68" s="374"/>
    </row>
    <row r="69" spans="1:12" x14ac:dyDescent="0.25">
      <c r="A69" s="120"/>
      <c r="B69" s="282" t="s">
        <v>132</v>
      </c>
      <c r="C69" s="120" t="s">
        <v>3208</v>
      </c>
      <c r="D69" s="120" t="s">
        <v>2864</v>
      </c>
      <c r="E69" s="122">
        <v>143.7365023209382</v>
      </c>
      <c r="F69" s="122">
        <v>39.107430769130026</v>
      </c>
      <c r="G69" s="122">
        <v>32.01</v>
      </c>
      <c r="H69" s="122">
        <v>3.41</v>
      </c>
      <c r="I69" s="122">
        <v>0</v>
      </c>
      <c r="J69" s="122">
        <v>218.26</v>
      </c>
      <c r="L69" s="374"/>
    </row>
    <row r="70" spans="1:12" x14ac:dyDescent="0.25">
      <c r="A70" s="120"/>
      <c r="B70" s="282" t="s">
        <v>388</v>
      </c>
      <c r="C70" s="120" t="s">
        <v>3209</v>
      </c>
      <c r="D70" s="120" t="s">
        <v>2865</v>
      </c>
      <c r="E70" s="122">
        <v>179.19890889130627</v>
      </c>
      <c r="F70" s="122">
        <v>44.96328708151735</v>
      </c>
      <c r="G70" s="122">
        <v>32.01</v>
      </c>
      <c r="H70" s="122">
        <v>3.41</v>
      </c>
      <c r="I70" s="122">
        <v>0</v>
      </c>
      <c r="J70" s="122">
        <v>259.58</v>
      </c>
      <c r="L70" s="374"/>
    </row>
    <row r="71" spans="1:12" x14ac:dyDescent="0.25">
      <c r="A71" s="120"/>
      <c r="B71" s="282" t="s">
        <v>145</v>
      </c>
      <c r="C71" s="120" t="s">
        <v>3210</v>
      </c>
      <c r="D71" s="120" t="s">
        <v>2866</v>
      </c>
      <c r="E71" s="122">
        <v>235.7732969370258</v>
      </c>
      <c r="F71" s="122">
        <v>53.427060960450589</v>
      </c>
      <c r="G71" s="122">
        <v>41.64</v>
      </c>
      <c r="H71" s="122">
        <v>6.54</v>
      </c>
      <c r="I71" s="122">
        <v>0</v>
      </c>
      <c r="J71" s="122">
        <v>337.38</v>
      </c>
      <c r="L71" s="374"/>
    </row>
    <row r="72" spans="1:12" x14ac:dyDescent="0.25">
      <c r="A72" s="120"/>
      <c r="B72" s="282" t="s">
        <v>333</v>
      </c>
      <c r="C72" s="120" t="s">
        <v>3211</v>
      </c>
      <c r="D72" s="120" t="s">
        <v>2867</v>
      </c>
      <c r="E72" s="122">
        <v>281.31474689899903</v>
      </c>
      <c r="F72" s="122">
        <v>56.024972658588425</v>
      </c>
      <c r="G72" s="122">
        <v>41.64</v>
      </c>
      <c r="H72" s="122">
        <v>6.54</v>
      </c>
      <c r="I72" s="122">
        <v>0</v>
      </c>
      <c r="J72" s="122">
        <v>385.52</v>
      </c>
      <c r="L72" s="374"/>
    </row>
    <row r="73" spans="1:12" x14ac:dyDescent="0.25">
      <c r="A73" s="120"/>
      <c r="B73" s="282" t="s">
        <v>354</v>
      </c>
      <c r="C73" s="120" t="s">
        <v>3212</v>
      </c>
      <c r="D73" s="120" t="s">
        <v>2868</v>
      </c>
      <c r="E73" s="122">
        <v>263.84349568331595</v>
      </c>
      <c r="F73" s="122">
        <v>55.776835163741971</v>
      </c>
      <c r="G73" s="122">
        <v>41.64</v>
      </c>
      <c r="H73" s="122">
        <v>6.54</v>
      </c>
      <c r="I73" s="122">
        <v>0</v>
      </c>
      <c r="J73" s="122">
        <v>367.8</v>
      </c>
      <c r="L73" s="374"/>
    </row>
    <row r="74" spans="1:12" x14ac:dyDescent="0.25">
      <c r="A74" s="120"/>
      <c r="D74" s="120" t="s">
        <v>1164</v>
      </c>
      <c r="E74" s="122"/>
      <c r="L74" s="374"/>
    </row>
    <row r="75" spans="1:12" x14ac:dyDescent="0.25">
      <c r="A75" s="120"/>
      <c r="B75" s="282" t="s">
        <v>564</v>
      </c>
      <c r="C75" s="120" t="s">
        <v>3213</v>
      </c>
      <c r="D75" s="120" t="s">
        <v>2869</v>
      </c>
      <c r="E75" s="122">
        <v>278.03249999999997</v>
      </c>
      <c r="F75" s="122">
        <v>92.677499999999995</v>
      </c>
      <c r="G75" s="122">
        <v>41.64</v>
      </c>
      <c r="H75" s="122">
        <v>8.81</v>
      </c>
      <c r="I75" s="122">
        <v>0</v>
      </c>
      <c r="J75" s="122">
        <v>421.16</v>
      </c>
      <c r="L75" s="374"/>
    </row>
    <row r="76" spans="1:12" x14ac:dyDescent="0.25">
      <c r="A76" s="120"/>
      <c r="D76" s="120" t="s">
        <v>1164</v>
      </c>
      <c r="E76" s="122"/>
      <c r="L76" s="374"/>
    </row>
    <row r="77" spans="1:12" x14ac:dyDescent="0.25">
      <c r="A77" s="120"/>
      <c r="B77" s="282" t="s">
        <v>133</v>
      </c>
      <c r="C77" s="120" t="s">
        <v>3214</v>
      </c>
      <c r="D77" s="120" t="s">
        <v>2870</v>
      </c>
      <c r="E77" s="122">
        <v>63.44173492316488</v>
      </c>
      <c r="F77" s="122">
        <v>27.151069885885907</v>
      </c>
      <c r="G77" s="122">
        <v>24.54</v>
      </c>
      <c r="H77" s="122">
        <v>1.77</v>
      </c>
      <c r="I77" s="122">
        <v>0</v>
      </c>
      <c r="J77" s="122">
        <v>116.9</v>
      </c>
      <c r="L77" s="374"/>
    </row>
    <row r="78" spans="1:12" x14ac:dyDescent="0.25">
      <c r="A78" s="120"/>
      <c r="B78" s="282" t="s">
        <v>338</v>
      </c>
      <c r="C78" s="120" t="s">
        <v>3215</v>
      </c>
      <c r="D78" s="120" t="s">
        <v>2871</v>
      </c>
      <c r="E78" s="122">
        <v>92.856642143083491</v>
      </c>
      <c r="F78" s="122">
        <v>29.784918447301283</v>
      </c>
      <c r="G78" s="122">
        <v>24.54</v>
      </c>
      <c r="H78" s="122">
        <v>1.77</v>
      </c>
      <c r="I78" s="122">
        <v>0</v>
      </c>
      <c r="J78" s="122">
        <v>148.94999999999999</v>
      </c>
      <c r="L78" s="374"/>
    </row>
    <row r="79" spans="1:12" x14ac:dyDescent="0.25">
      <c r="A79" s="120"/>
      <c r="B79" s="282" t="s">
        <v>207</v>
      </c>
      <c r="C79" s="120" t="s">
        <v>3216</v>
      </c>
      <c r="D79" s="120" t="s">
        <v>2872</v>
      </c>
      <c r="E79" s="122">
        <v>103.64161990200559</v>
      </c>
      <c r="F79" s="122">
        <v>32.916839781232902</v>
      </c>
      <c r="G79" s="122">
        <v>32.01</v>
      </c>
      <c r="H79" s="122">
        <v>3.24</v>
      </c>
      <c r="I79" s="122">
        <v>0</v>
      </c>
      <c r="J79" s="122">
        <v>171.81</v>
      </c>
      <c r="L79" s="374"/>
    </row>
    <row r="80" spans="1:12" x14ac:dyDescent="0.25">
      <c r="A80" s="120"/>
      <c r="B80" s="282" t="s">
        <v>116</v>
      </c>
      <c r="C80" s="120" t="s">
        <v>3217</v>
      </c>
      <c r="D80" s="120" t="s">
        <v>2873</v>
      </c>
      <c r="E80" s="122">
        <v>128.07370438306955</v>
      </c>
      <c r="F80" s="122">
        <v>35.682522699894065</v>
      </c>
      <c r="G80" s="122">
        <v>32.01</v>
      </c>
      <c r="H80" s="122">
        <v>3.24</v>
      </c>
      <c r="I80" s="122">
        <v>0</v>
      </c>
      <c r="J80" s="122">
        <v>199.01</v>
      </c>
      <c r="L80" s="374"/>
    </row>
    <row r="81" spans="1:12" x14ac:dyDescent="0.25">
      <c r="A81" s="120"/>
      <c r="B81" s="282" t="s">
        <v>76</v>
      </c>
      <c r="C81" s="120" t="s">
        <v>3218</v>
      </c>
      <c r="D81" s="120" t="s">
        <v>2874</v>
      </c>
      <c r="E81" s="122">
        <v>68.211936853337718</v>
      </c>
      <c r="F81" s="122">
        <v>28.395581912984849</v>
      </c>
      <c r="G81" s="122">
        <v>24.54</v>
      </c>
      <c r="H81" s="122">
        <v>1.77</v>
      </c>
      <c r="I81" s="122">
        <v>0</v>
      </c>
      <c r="J81" s="122">
        <v>122.92</v>
      </c>
      <c r="L81" s="374"/>
    </row>
    <row r="82" spans="1:12" x14ac:dyDescent="0.25">
      <c r="A82" s="120"/>
      <c r="B82" s="282" t="s">
        <v>204</v>
      </c>
      <c r="C82" s="120" t="s">
        <v>3219</v>
      </c>
      <c r="D82" s="120" t="s">
        <v>2875</v>
      </c>
      <c r="E82" s="122">
        <v>117.34738617413581</v>
      </c>
      <c r="F82" s="122">
        <v>33.708517954613576</v>
      </c>
      <c r="G82" s="122">
        <v>24.54</v>
      </c>
      <c r="H82" s="122">
        <v>1.77</v>
      </c>
      <c r="I82" s="122">
        <v>0</v>
      </c>
      <c r="J82" s="122">
        <v>177.37</v>
      </c>
      <c r="L82" s="374"/>
    </row>
    <row r="83" spans="1:12" x14ac:dyDescent="0.25">
      <c r="A83" s="120"/>
      <c r="B83" s="282" t="s">
        <v>355</v>
      </c>
      <c r="C83" s="120" t="s">
        <v>3220</v>
      </c>
      <c r="D83" s="120" t="s">
        <v>2876</v>
      </c>
      <c r="E83" s="122">
        <v>110.34790699643699</v>
      </c>
      <c r="F83" s="122">
        <v>34.709882473038299</v>
      </c>
      <c r="G83" s="122">
        <v>24.3</v>
      </c>
      <c r="H83" s="122">
        <v>5.33</v>
      </c>
      <c r="I83" s="122">
        <v>0</v>
      </c>
      <c r="J83" s="122">
        <v>174.69</v>
      </c>
      <c r="L83" s="374"/>
    </row>
    <row r="84" spans="1:12" x14ac:dyDescent="0.25">
      <c r="A84" s="120"/>
      <c r="B84" s="282" t="s">
        <v>180</v>
      </c>
      <c r="C84" s="120" t="s">
        <v>3221</v>
      </c>
      <c r="D84" s="120" t="s">
        <v>2877</v>
      </c>
      <c r="E84" s="122">
        <v>171.94411435178736</v>
      </c>
      <c r="F84" s="122">
        <v>41.597784761787139</v>
      </c>
      <c r="G84" s="122">
        <v>29.42</v>
      </c>
      <c r="H84" s="122">
        <v>5.33</v>
      </c>
      <c r="I84" s="122">
        <v>0</v>
      </c>
      <c r="J84" s="122">
        <v>248.29</v>
      </c>
      <c r="L84" s="374"/>
    </row>
    <row r="85" spans="1:12" x14ac:dyDescent="0.25">
      <c r="A85" s="120"/>
      <c r="B85" s="282" t="s">
        <v>229</v>
      </c>
      <c r="C85" s="120" t="s">
        <v>3222</v>
      </c>
      <c r="D85" s="120" t="s">
        <v>2878</v>
      </c>
      <c r="E85" s="122">
        <v>190.2895794835857</v>
      </c>
      <c r="F85" s="122">
        <v>43.32148734100489</v>
      </c>
      <c r="G85" s="122">
        <v>29.42</v>
      </c>
      <c r="H85" s="122">
        <v>5.33</v>
      </c>
      <c r="I85" s="122">
        <v>0</v>
      </c>
      <c r="J85" s="122">
        <v>268.36</v>
      </c>
      <c r="L85" s="374"/>
    </row>
    <row r="86" spans="1:12" x14ac:dyDescent="0.25">
      <c r="A86" s="120"/>
      <c r="B86" s="282" t="s">
        <v>159</v>
      </c>
      <c r="C86" s="120" t="s">
        <v>3223</v>
      </c>
      <c r="D86" s="120" t="s">
        <v>2879</v>
      </c>
      <c r="E86" s="122">
        <v>108.22300220164522</v>
      </c>
      <c r="F86" s="122">
        <v>35.270044558484791</v>
      </c>
      <c r="G86" s="122">
        <v>32.01</v>
      </c>
      <c r="H86" s="122">
        <v>3.24</v>
      </c>
      <c r="I86" s="122">
        <v>0</v>
      </c>
      <c r="J86" s="122">
        <v>178.74</v>
      </c>
      <c r="L86" s="374"/>
    </row>
    <row r="87" spans="1:12" x14ac:dyDescent="0.25">
      <c r="A87" s="120"/>
      <c r="B87" s="282" t="s">
        <v>100</v>
      </c>
      <c r="C87" s="120" t="s">
        <v>3224</v>
      </c>
      <c r="D87" s="120" t="s">
        <v>2880</v>
      </c>
      <c r="E87" s="122">
        <v>153.3966113050343</v>
      </c>
      <c r="F87" s="122">
        <v>37.198956434975095</v>
      </c>
      <c r="G87" s="122">
        <v>32.01</v>
      </c>
      <c r="H87" s="122">
        <v>3.24</v>
      </c>
      <c r="I87" s="122">
        <v>0</v>
      </c>
      <c r="J87" s="122">
        <v>225.85</v>
      </c>
      <c r="L87" s="374"/>
    </row>
    <row r="88" spans="1:12" x14ac:dyDescent="0.25">
      <c r="A88" s="120"/>
      <c r="B88" s="282" t="s">
        <v>152</v>
      </c>
      <c r="C88" s="120" t="s">
        <v>3225</v>
      </c>
      <c r="D88" s="120" t="s">
        <v>2881</v>
      </c>
      <c r="E88" s="122">
        <v>152.87018705794512</v>
      </c>
      <c r="F88" s="122">
        <v>39.475364772294036</v>
      </c>
      <c r="G88" s="122">
        <v>33.19</v>
      </c>
      <c r="H88" s="122">
        <v>6.18</v>
      </c>
      <c r="I88" s="122">
        <v>0</v>
      </c>
      <c r="J88" s="122">
        <v>231.72</v>
      </c>
      <c r="L88" s="374"/>
    </row>
    <row r="89" spans="1:12" x14ac:dyDescent="0.25">
      <c r="A89" s="120"/>
      <c r="B89" s="282" t="s">
        <v>51</v>
      </c>
      <c r="C89" s="120" t="s">
        <v>3226</v>
      </c>
      <c r="D89" s="120" t="s">
        <v>2882</v>
      </c>
      <c r="E89" s="122">
        <v>204.66734377022644</v>
      </c>
      <c r="F89" s="122">
        <v>44.199662063821059</v>
      </c>
      <c r="G89" s="122">
        <v>40.21</v>
      </c>
      <c r="H89" s="122">
        <v>6.18</v>
      </c>
      <c r="I89" s="122">
        <v>0</v>
      </c>
      <c r="J89" s="122">
        <v>295.26</v>
      </c>
      <c r="L89" s="374"/>
    </row>
    <row r="90" spans="1:12" x14ac:dyDescent="0.25">
      <c r="A90" s="120"/>
      <c r="B90" s="282" t="s">
        <v>211</v>
      </c>
      <c r="C90" s="120" t="s">
        <v>3227</v>
      </c>
      <c r="D90" s="120" t="s">
        <v>2883</v>
      </c>
      <c r="E90" s="122">
        <v>222.60023097141567</v>
      </c>
      <c r="F90" s="122">
        <v>45.538343066922735</v>
      </c>
      <c r="G90" s="122">
        <v>40.21</v>
      </c>
      <c r="H90" s="122">
        <v>6.18</v>
      </c>
      <c r="I90" s="122">
        <v>0</v>
      </c>
      <c r="J90" s="122">
        <v>314.52999999999997</v>
      </c>
      <c r="L90" s="374"/>
    </row>
    <row r="91" spans="1:12" x14ac:dyDescent="0.25">
      <c r="A91" s="120"/>
      <c r="B91" s="282" t="s">
        <v>331</v>
      </c>
      <c r="C91" s="120" t="s">
        <v>3228</v>
      </c>
      <c r="D91" s="120" t="s">
        <v>2884</v>
      </c>
      <c r="E91" s="122">
        <v>84.389353795312019</v>
      </c>
      <c r="F91" s="122">
        <v>30.788129389520982</v>
      </c>
      <c r="G91" s="122">
        <v>24.54</v>
      </c>
      <c r="H91" s="122">
        <v>3.19</v>
      </c>
      <c r="I91" s="122">
        <v>0</v>
      </c>
      <c r="J91" s="122">
        <v>142.91</v>
      </c>
      <c r="L91" s="374"/>
    </row>
    <row r="92" spans="1:12" x14ac:dyDescent="0.25">
      <c r="A92" s="120"/>
      <c r="B92" s="282" t="s">
        <v>118</v>
      </c>
      <c r="C92" s="120" t="s">
        <v>3229</v>
      </c>
      <c r="D92" s="120" t="s">
        <v>2885</v>
      </c>
      <c r="E92" s="122">
        <v>141.30117594880608</v>
      </c>
      <c r="F92" s="122">
        <v>38.487718803530392</v>
      </c>
      <c r="G92" s="122">
        <v>24.54</v>
      </c>
      <c r="H92" s="122">
        <v>3.19</v>
      </c>
      <c r="I92" s="122">
        <v>0</v>
      </c>
      <c r="J92" s="122">
        <v>207.52</v>
      </c>
      <c r="L92" s="374"/>
    </row>
    <row r="93" spans="1:12" x14ac:dyDescent="0.25">
      <c r="A93" s="120"/>
      <c r="B93" s="282" t="s">
        <v>357</v>
      </c>
      <c r="C93" s="120" t="s">
        <v>3230</v>
      </c>
      <c r="D93" s="120" t="s">
        <v>2886</v>
      </c>
      <c r="E93" s="122">
        <v>142.8568423885506</v>
      </c>
      <c r="F93" s="122">
        <v>39.410781488716147</v>
      </c>
      <c r="G93" s="122">
        <v>28.41</v>
      </c>
      <c r="H93" s="122">
        <v>7.95</v>
      </c>
      <c r="I93" s="122">
        <v>0</v>
      </c>
      <c r="J93" s="122">
        <v>218.63</v>
      </c>
      <c r="L93" s="374"/>
    </row>
    <row r="94" spans="1:12" x14ac:dyDescent="0.25">
      <c r="A94" s="120"/>
      <c r="B94" s="282" t="s">
        <v>358</v>
      </c>
      <c r="C94" s="120" t="s">
        <v>3231</v>
      </c>
      <c r="D94" s="120" t="s">
        <v>2887</v>
      </c>
      <c r="E94" s="122">
        <v>204.01826752138859</v>
      </c>
      <c r="F94" s="122">
        <v>47.596801887376138</v>
      </c>
      <c r="G94" s="122">
        <v>33.54</v>
      </c>
      <c r="H94" s="122">
        <v>7.95</v>
      </c>
      <c r="I94" s="122">
        <v>0</v>
      </c>
      <c r="J94" s="122">
        <v>293.11</v>
      </c>
      <c r="L94" s="374"/>
    </row>
    <row r="95" spans="1:12" x14ac:dyDescent="0.25">
      <c r="A95" s="120"/>
      <c r="B95" s="282" t="s">
        <v>238</v>
      </c>
      <c r="C95" s="120" t="s">
        <v>3232</v>
      </c>
      <c r="D95" s="120" t="s">
        <v>2888</v>
      </c>
      <c r="E95" s="122">
        <v>230.30716109996169</v>
      </c>
      <c r="F95" s="122">
        <v>51.340240085219932</v>
      </c>
      <c r="G95" s="122">
        <v>33.54</v>
      </c>
      <c r="H95" s="122">
        <v>7.95</v>
      </c>
      <c r="I95" s="122">
        <v>0</v>
      </c>
      <c r="J95" s="122">
        <v>323.14</v>
      </c>
      <c r="L95" s="374"/>
    </row>
    <row r="96" spans="1:12" x14ac:dyDescent="0.25">
      <c r="A96" s="120"/>
      <c r="B96" s="282" t="s">
        <v>140</v>
      </c>
      <c r="C96" s="120" t="s">
        <v>3233</v>
      </c>
      <c r="D96" s="120" t="s">
        <v>2889</v>
      </c>
      <c r="E96" s="122">
        <v>120.6255719682428</v>
      </c>
      <c r="F96" s="122">
        <v>41.645839023500066</v>
      </c>
      <c r="G96" s="122">
        <v>32.01</v>
      </c>
      <c r="H96" s="122">
        <v>4.6500000000000004</v>
      </c>
      <c r="I96" s="122">
        <v>0</v>
      </c>
      <c r="J96" s="122">
        <v>198.93</v>
      </c>
      <c r="L96" s="374"/>
    </row>
    <row r="97" spans="1:12" x14ac:dyDescent="0.25">
      <c r="B97" s="282" t="s">
        <v>316</v>
      </c>
      <c r="C97" s="120" t="s">
        <v>3234</v>
      </c>
      <c r="D97" s="120" t="s">
        <v>2890</v>
      </c>
      <c r="E97" s="122">
        <v>171.00361310374788</v>
      </c>
      <c r="F97" s="122">
        <v>47.331446371057972</v>
      </c>
      <c r="G97" s="122">
        <v>32.01</v>
      </c>
      <c r="H97" s="122">
        <v>4.6500000000000004</v>
      </c>
      <c r="I97" s="122">
        <v>0</v>
      </c>
      <c r="J97" s="122">
        <v>255</v>
      </c>
      <c r="L97" s="374"/>
    </row>
    <row r="98" spans="1:12" x14ac:dyDescent="0.25">
      <c r="B98" s="282" t="s">
        <v>84</v>
      </c>
      <c r="C98" s="120" t="s">
        <v>3235</v>
      </c>
      <c r="D98" s="120" t="s">
        <v>2891</v>
      </c>
      <c r="E98" s="122">
        <v>177.73669234626658</v>
      </c>
      <c r="F98" s="122">
        <v>50.814894780086952</v>
      </c>
      <c r="G98" s="122">
        <v>37.299999999999997</v>
      </c>
      <c r="H98" s="122">
        <v>8.81</v>
      </c>
      <c r="I98" s="122">
        <v>0</v>
      </c>
      <c r="J98" s="122">
        <v>274.66000000000003</v>
      </c>
      <c r="L98" s="374"/>
    </row>
    <row r="99" spans="1:12" x14ac:dyDescent="0.25">
      <c r="B99" s="282" t="s">
        <v>139</v>
      </c>
      <c r="C99" s="120" t="s">
        <v>3236</v>
      </c>
      <c r="D99" s="120" t="s">
        <v>2892</v>
      </c>
      <c r="E99" s="122">
        <v>231.00555268498968</v>
      </c>
      <c r="F99" s="122">
        <v>56.130193938610745</v>
      </c>
      <c r="G99" s="122">
        <v>44.32</v>
      </c>
      <c r="H99" s="122">
        <v>8.81</v>
      </c>
      <c r="I99" s="122">
        <v>0</v>
      </c>
      <c r="J99" s="122">
        <v>340.27</v>
      </c>
      <c r="L99" s="374"/>
    </row>
    <row r="100" spans="1:12" x14ac:dyDescent="0.25">
      <c r="B100" s="282" t="s">
        <v>347</v>
      </c>
      <c r="C100" s="120" t="s">
        <v>3237</v>
      </c>
      <c r="D100" s="120" t="s">
        <v>2893</v>
      </c>
      <c r="E100" s="122">
        <v>243.77574951303393</v>
      </c>
      <c r="F100" s="122">
        <v>54.675673928431301</v>
      </c>
      <c r="G100" s="122">
        <v>44.32</v>
      </c>
      <c r="H100" s="122">
        <v>8.81</v>
      </c>
      <c r="I100" s="122">
        <v>0</v>
      </c>
      <c r="J100" s="122">
        <v>351.58</v>
      </c>
      <c r="L100" s="374"/>
    </row>
    <row r="101" spans="1:12" x14ac:dyDescent="0.25">
      <c r="A101" s="121"/>
      <c r="D101" s="120" t="s">
        <v>1164</v>
      </c>
      <c r="E101" s="122"/>
      <c r="L101" s="374"/>
    </row>
    <row r="102" spans="1:12" x14ac:dyDescent="0.25">
      <c r="B102" s="282" t="s">
        <v>302</v>
      </c>
      <c r="C102" s="120" t="s">
        <v>3238</v>
      </c>
      <c r="D102" s="120" t="s">
        <v>2894</v>
      </c>
      <c r="E102" s="122">
        <v>107.84877209111278</v>
      </c>
      <c r="F102" s="122">
        <v>28.515887287036993</v>
      </c>
      <c r="G102" s="122">
        <v>24.54</v>
      </c>
      <c r="H102" s="122">
        <v>4.9000000000000004</v>
      </c>
      <c r="I102" s="122">
        <v>0</v>
      </c>
      <c r="J102" s="122">
        <v>165.8</v>
      </c>
      <c r="L102" s="374"/>
    </row>
    <row r="103" spans="1:12" x14ac:dyDescent="0.25">
      <c r="B103" s="282" t="s">
        <v>86</v>
      </c>
      <c r="C103" s="120" t="s">
        <v>3239</v>
      </c>
      <c r="D103" s="120" t="s">
        <v>2895</v>
      </c>
      <c r="E103" s="122">
        <v>224.71744275620438</v>
      </c>
      <c r="F103" s="122">
        <v>52.505205499964433</v>
      </c>
      <c r="G103" s="122">
        <v>24.54</v>
      </c>
      <c r="H103" s="122">
        <v>4.9000000000000004</v>
      </c>
      <c r="I103" s="122">
        <v>0</v>
      </c>
      <c r="J103" s="122">
        <v>306.66000000000003</v>
      </c>
      <c r="L103" s="374"/>
    </row>
    <row r="104" spans="1:12" x14ac:dyDescent="0.25">
      <c r="B104" s="282" t="s">
        <v>168</v>
      </c>
      <c r="C104" s="120" t="s">
        <v>3240</v>
      </c>
      <c r="D104" s="120" t="s">
        <v>2896</v>
      </c>
      <c r="E104" s="122">
        <v>255.79202450013602</v>
      </c>
      <c r="F104" s="122">
        <v>61.372319865245913</v>
      </c>
      <c r="G104" s="122">
        <v>23.03</v>
      </c>
      <c r="H104" s="122">
        <v>4.9000000000000004</v>
      </c>
      <c r="I104" s="122">
        <v>0</v>
      </c>
      <c r="J104" s="122">
        <v>345.09</v>
      </c>
      <c r="L104" s="374"/>
    </row>
    <row r="105" spans="1:12" x14ac:dyDescent="0.25">
      <c r="B105" s="282" t="s">
        <v>308</v>
      </c>
      <c r="C105" s="120" t="s">
        <v>3241</v>
      </c>
      <c r="D105" s="120" t="s">
        <v>2897</v>
      </c>
      <c r="E105" s="122">
        <v>127.1925</v>
      </c>
      <c r="F105" s="122">
        <v>42.397500000000001</v>
      </c>
      <c r="G105" s="122">
        <v>24.54</v>
      </c>
      <c r="H105" s="122">
        <v>4.9000000000000004</v>
      </c>
      <c r="I105" s="122">
        <v>0</v>
      </c>
      <c r="J105" s="122">
        <v>199.03</v>
      </c>
      <c r="L105" s="374"/>
    </row>
    <row r="106" spans="1:12" x14ac:dyDescent="0.25">
      <c r="B106" s="282" t="s">
        <v>55</v>
      </c>
      <c r="C106" s="120" t="s">
        <v>3242</v>
      </c>
      <c r="D106" s="120" t="s">
        <v>2898</v>
      </c>
      <c r="E106" s="122">
        <v>124.11645951871633</v>
      </c>
      <c r="F106" s="122">
        <v>42.352350866037526</v>
      </c>
      <c r="G106" s="122">
        <v>32.01</v>
      </c>
      <c r="H106" s="122">
        <v>6.15</v>
      </c>
      <c r="I106" s="122">
        <v>0</v>
      </c>
      <c r="J106" s="122">
        <v>204.63</v>
      </c>
      <c r="L106" s="374"/>
    </row>
    <row r="107" spans="1:12" x14ac:dyDescent="0.25">
      <c r="B107" s="282" t="s">
        <v>171</v>
      </c>
      <c r="C107" s="120" t="s">
        <v>3243</v>
      </c>
      <c r="D107" s="120" t="s">
        <v>2899</v>
      </c>
      <c r="E107" s="122">
        <v>252.21544734154625</v>
      </c>
      <c r="F107" s="122">
        <v>66.05891995611195</v>
      </c>
      <c r="G107" s="122">
        <v>32.01</v>
      </c>
      <c r="H107" s="122">
        <v>6.15</v>
      </c>
      <c r="I107" s="122">
        <v>0</v>
      </c>
      <c r="J107" s="122">
        <v>356.43</v>
      </c>
      <c r="L107" s="374"/>
    </row>
    <row r="108" spans="1:12" x14ac:dyDescent="0.25">
      <c r="B108" s="282" t="s">
        <v>56</v>
      </c>
      <c r="C108" s="120" t="s">
        <v>3244</v>
      </c>
      <c r="D108" s="120" t="s">
        <v>2900</v>
      </c>
      <c r="E108" s="122">
        <v>270.57125498672286</v>
      </c>
      <c r="F108" s="122">
        <v>79.456086638212383</v>
      </c>
      <c r="G108" s="122">
        <v>31.93</v>
      </c>
      <c r="H108" s="122">
        <v>6.15</v>
      </c>
      <c r="I108" s="122">
        <v>0</v>
      </c>
      <c r="J108" s="122">
        <v>388.11</v>
      </c>
      <c r="L108" s="374"/>
    </row>
    <row r="109" spans="1:12" x14ac:dyDescent="0.25">
      <c r="B109" s="282" t="s">
        <v>330</v>
      </c>
      <c r="C109" s="120" t="s">
        <v>3245</v>
      </c>
      <c r="D109" s="120" t="s">
        <v>2901</v>
      </c>
      <c r="E109" s="122">
        <v>167.45250000000001</v>
      </c>
      <c r="F109" s="122">
        <v>55.817500000000003</v>
      </c>
      <c r="G109" s="122">
        <v>32.01</v>
      </c>
      <c r="H109" s="122">
        <v>6.15</v>
      </c>
      <c r="I109" s="122">
        <v>0</v>
      </c>
      <c r="J109" s="122">
        <v>261.43</v>
      </c>
      <c r="L109" s="374"/>
    </row>
    <row r="110" spans="1:12" x14ac:dyDescent="0.25">
      <c r="B110" s="282" t="s">
        <v>369</v>
      </c>
      <c r="C110" s="120" t="s">
        <v>3246</v>
      </c>
      <c r="D110" s="120" t="s">
        <v>2902</v>
      </c>
      <c r="E110" s="122">
        <v>110.63359113906508</v>
      </c>
      <c r="F110" s="122">
        <v>17.970118150035209</v>
      </c>
      <c r="G110" s="122">
        <v>24.54</v>
      </c>
      <c r="H110" s="122">
        <v>7.5</v>
      </c>
      <c r="I110" s="122">
        <v>0</v>
      </c>
      <c r="J110" s="122">
        <v>160.63999999999999</v>
      </c>
      <c r="L110" s="374"/>
    </row>
    <row r="111" spans="1:12" x14ac:dyDescent="0.25">
      <c r="B111" s="282" t="s">
        <v>296</v>
      </c>
      <c r="C111" s="120" t="s">
        <v>3247</v>
      </c>
      <c r="D111" s="120" t="s">
        <v>2903</v>
      </c>
      <c r="E111" s="122">
        <v>253.79406689141643</v>
      </c>
      <c r="F111" s="122">
        <v>27.538562884636153</v>
      </c>
      <c r="G111" s="122">
        <v>24.54</v>
      </c>
      <c r="H111" s="122">
        <v>7.5</v>
      </c>
      <c r="I111" s="122">
        <v>0</v>
      </c>
      <c r="J111" s="122">
        <v>313.37</v>
      </c>
      <c r="L111" s="374"/>
    </row>
    <row r="112" spans="1:12" x14ac:dyDescent="0.25">
      <c r="B112" s="282" t="s">
        <v>311</v>
      </c>
      <c r="C112" s="120" t="s">
        <v>3248</v>
      </c>
      <c r="D112" s="120" t="s">
        <v>2904</v>
      </c>
      <c r="E112" s="122">
        <v>289.28308097811168</v>
      </c>
      <c r="F112" s="122">
        <v>33.941879012612951</v>
      </c>
      <c r="G112" s="122">
        <v>27.14</v>
      </c>
      <c r="H112" s="122">
        <v>7.5</v>
      </c>
      <c r="I112" s="122">
        <v>0</v>
      </c>
      <c r="J112" s="122">
        <v>357.86</v>
      </c>
      <c r="L112" s="374"/>
    </row>
    <row r="113" spans="1:12" x14ac:dyDescent="0.25">
      <c r="A113" s="120"/>
      <c r="B113" s="282" t="s">
        <v>348</v>
      </c>
      <c r="C113" s="120" t="s">
        <v>3249</v>
      </c>
      <c r="D113" s="120" t="s">
        <v>2905</v>
      </c>
      <c r="E113" s="122">
        <v>151.035</v>
      </c>
      <c r="F113" s="122">
        <v>50.344999999999999</v>
      </c>
      <c r="G113" s="122">
        <v>24.54</v>
      </c>
      <c r="H113" s="122">
        <v>7.5</v>
      </c>
      <c r="I113" s="122">
        <v>0</v>
      </c>
      <c r="J113" s="122">
        <v>233.42</v>
      </c>
      <c r="L113" s="374"/>
    </row>
    <row r="114" spans="1:12" x14ac:dyDescent="0.25">
      <c r="A114" s="120"/>
      <c r="B114" s="282" t="s">
        <v>359</v>
      </c>
      <c r="C114" s="120" t="s">
        <v>3250</v>
      </c>
      <c r="D114" s="120" t="s">
        <v>2906</v>
      </c>
      <c r="E114" s="122">
        <v>152.12180285369499</v>
      </c>
      <c r="F114" s="122">
        <v>21.545717729213948</v>
      </c>
      <c r="G114" s="122">
        <v>32.01</v>
      </c>
      <c r="H114" s="122">
        <v>8.76</v>
      </c>
      <c r="I114" s="122">
        <v>0</v>
      </c>
      <c r="J114" s="122">
        <v>214.44</v>
      </c>
      <c r="L114" s="374"/>
    </row>
    <row r="115" spans="1:12" x14ac:dyDescent="0.25">
      <c r="A115" s="120"/>
      <c r="B115" s="282" t="s">
        <v>52</v>
      </c>
      <c r="C115" s="120" t="s">
        <v>3251</v>
      </c>
      <c r="D115" s="120" t="s">
        <v>2907</v>
      </c>
      <c r="E115" s="122">
        <v>301.02714564950293</v>
      </c>
      <c r="F115" s="122">
        <v>49.082976572395744</v>
      </c>
      <c r="G115" s="122">
        <v>32.01</v>
      </c>
      <c r="H115" s="122">
        <v>8.76</v>
      </c>
      <c r="I115" s="122">
        <v>0</v>
      </c>
      <c r="J115" s="122">
        <v>390.88</v>
      </c>
      <c r="L115" s="374"/>
    </row>
    <row r="116" spans="1:12" x14ac:dyDescent="0.25">
      <c r="A116" s="120"/>
      <c r="B116" s="282" t="s">
        <v>303</v>
      </c>
      <c r="C116" s="120" t="s">
        <v>3252</v>
      </c>
      <c r="D116" s="120" t="s">
        <v>2908</v>
      </c>
      <c r="E116" s="122">
        <v>357.52318933874153</v>
      </c>
      <c r="F116" s="122">
        <v>55.620440625879567</v>
      </c>
      <c r="G116" s="122">
        <v>36.04</v>
      </c>
      <c r="H116" s="122">
        <v>8.76</v>
      </c>
      <c r="I116" s="122">
        <v>0</v>
      </c>
      <c r="J116" s="122">
        <v>457.94</v>
      </c>
      <c r="L116" s="374"/>
    </row>
    <row r="117" spans="1:12" x14ac:dyDescent="0.25">
      <c r="A117" s="120"/>
      <c r="B117" s="282" t="s">
        <v>71</v>
      </c>
      <c r="C117" s="120" t="s">
        <v>3253</v>
      </c>
      <c r="D117" s="120" t="s">
        <v>2909</v>
      </c>
      <c r="E117" s="122">
        <v>191.29500000000002</v>
      </c>
      <c r="F117" s="122">
        <v>63.765000000000001</v>
      </c>
      <c r="G117" s="122">
        <v>32.01</v>
      </c>
      <c r="H117" s="122">
        <v>8.76</v>
      </c>
      <c r="I117" s="122">
        <v>0</v>
      </c>
      <c r="J117" s="122">
        <v>295.83</v>
      </c>
      <c r="L117" s="374"/>
    </row>
    <row r="118" spans="1:12" x14ac:dyDescent="0.25">
      <c r="A118" s="120"/>
      <c r="D118" s="120" t="s">
        <v>1164</v>
      </c>
      <c r="E118" s="122"/>
      <c r="L118" s="374"/>
    </row>
    <row r="119" spans="1:12" x14ac:dyDescent="0.25">
      <c r="A119" s="120"/>
      <c r="B119" s="282" t="s">
        <v>117</v>
      </c>
      <c r="C119" s="120" t="s">
        <v>3254</v>
      </c>
      <c r="D119" s="120" t="s">
        <v>2910</v>
      </c>
      <c r="E119" s="122">
        <v>57.81</v>
      </c>
      <c r="F119" s="122">
        <v>19.27</v>
      </c>
      <c r="G119" s="122">
        <v>24.54</v>
      </c>
      <c r="H119" s="122">
        <v>4.9000000000000004</v>
      </c>
      <c r="I119" s="122">
        <v>0</v>
      </c>
      <c r="J119" s="122">
        <v>106.52</v>
      </c>
      <c r="L119" s="374"/>
    </row>
    <row r="120" spans="1:12" x14ac:dyDescent="0.25">
      <c r="A120" s="120"/>
      <c r="B120" s="282" t="s">
        <v>96</v>
      </c>
      <c r="C120" s="120" t="s">
        <v>3255</v>
      </c>
      <c r="D120" s="120" t="s">
        <v>2911</v>
      </c>
      <c r="E120" s="122">
        <v>86.182500000000005</v>
      </c>
      <c r="F120" s="122">
        <v>28.727499999999999</v>
      </c>
      <c r="G120" s="122">
        <v>24.54</v>
      </c>
      <c r="H120" s="122">
        <v>4.9000000000000004</v>
      </c>
      <c r="I120" s="122">
        <v>0</v>
      </c>
      <c r="J120" s="122">
        <v>144.35</v>
      </c>
      <c r="L120" s="374"/>
    </row>
    <row r="121" spans="1:12" x14ac:dyDescent="0.25">
      <c r="A121" s="120"/>
      <c r="B121" s="282" t="s">
        <v>293</v>
      </c>
      <c r="C121" s="120" t="s">
        <v>3256</v>
      </c>
      <c r="D121" s="120" t="s">
        <v>2912</v>
      </c>
      <c r="E121" s="122">
        <v>91.372500000000002</v>
      </c>
      <c r="F121" s="122">
        <v>30.4575</v>
      </c>
      <c r="G121" s="122">
        <v>32.01</v>
      </c>
      <c r="H121" s="122">
        <v>6.15</v>
      </c>
      <c r="I121" s="122">
        <v>0</v>
      </c>
      <c r="J121" s="122">
        <v>159.99</v>
      </c>
      <c r="L121" s="374"/>
    </row>
    <row r="122" spans="1:12" x14ac:dyDescent="0.25">
      <c r="A122" s="120"/>
      <c r="B122" s="282" t="s">
        <v>87</v>
      </c>
      <c r="C122" s="120" t="s">
        <v>3257</v>
      </c>
      <c r="D122" s="120" t="s">
        <v>2913</v>
      </c>
      <c r="E122" s="122">
        <v>114.14999999999999</v>
      </c>
      <c r="F122" s="122">
        <v>38.049999999999997</v>
      </c>
      <c r="G122" s="122">
        <v>32.01</v>
      </c>
      <c r="H122" s="122">
        <v>6.15</v>
      </c>
      <c r="I122" s="122">
        <v>0</v>
      </c>
      <c r="J122" s="122">
        <v>190.36</v>
      </c>
      <c r="L122" s="374"/>
    </row>
    <row r="123" spans="1:12" x14ac:dyDescent="0.25">
      <c r="A123" s="120"/>
      <c r="B123" s="282" t="s">
        <v>361</v>
      </c>
      <c r="C123" s="120" t="s">
        <v>3258</v>
      </c>
      <c r="D123" s="120" t="s">
        <v>2914</v>
      </c>
      <c r="E123" s="122">
        <v>105.61499999999999</v>
      </c>
      <c r="F123" s="122">
        <v>35.204999999999998</v>
      </c>
      <c r="G123" s="122">
        <v>24.54</v>
      </c>
      <c r="H123" s="122">
        <v>4.9000000000000004</v>
      </c>
      <c r="I123" s="122">
        <v>0</v>
      </c>
      <c r="J123" s="122">
        <v>170.26</v>
      </c>
      <c r="L123" s="374"/>
    </row>
    <row r="124" spans="1:12" x14ac:dyDescent="0.25">
      <c r="A124" s="120"/>
      <c r="B124" s="282" t="s">
        <v>232</v>
      </c>
      <c r="C124" s="120" t="s">
        <v>3259</v>
      </c>
      <c r="D124" s="120" t="s">
        <v>2915</v>
      </c>
      <c r="E124" s="122">
        <v>134.23499999999999</v>
      </c>
      <c r="F124" s="122">
        <v>44.744999999999997</v>
      </c>
      <c r="G124" s="122">
        <v>24.98</v>
      </c>
      <c r="H124" s="122">
        <v>4.9000000000000004</v>
      </c>
      <c r="I124" s="122">
        <v>0</v>
      </c>
      <c r="J124" s="122">
        <v>208.86</v>
      </c>
      <c r="L124" s="374"/>
    </row>
    <row r="125" spans="1:12" x14ac:dyDescent="0.25">
      <c r="A125" s="120"/>
      <c r="B125" s="282" t="s">
        <v>215</v>
      </c>
      <c r="C125" s="120" t="s">
        <v>3260</v>
      </c>
      <c r="D125" s="120" t="s">
        <v>2916</v>
      </c>
      <c r="E125" s="122">
        <v>147.6825</v>
      </c>
      <c r="F125" s="122">
        <v>49.227499999999999</v>
      </c>
      <c r="G125" s="122">
        <v>30.18</v>
      </c>
      <c r="H125" s="122">
        <v>4.9000000000000004</v>
      </c>
      <c r="I125" s="122">
        <v>0</v>
      </c>
      <c r="J125" s="122">
        <v>231.99</v>
      </c>
      <c r="L125" s="374"/>
    </row>
    <row r="126" spans="1:12" x14ac:dyDescent="0.25">
      <c r="A126" s="120"/>
      <c r="B126" s="282" t="s">
        <v>172</v>
      </c>
      <c r="C126" s="120" t="s">
        <v>3261</v>
      </c>
      <c r="D126" s="120" t="s">
        <v>2917</v>
      </c>
      <c r="E126" s="122">
        <v>133.5975</v>
      </c>
      <c r="F126" s="122">
        <v>44.532499999999999</v>
      </c>
      <c r="G126" s="122">
        <v>32.01</v>
      </c>
      <c r="H126" s="122">
        <v>6.15</v>
      </c>
      <c r="I126" s="122">
        <v>0</v>
      </c>
      <c r="J126" s="122">
        <v>216.29</v>
      </c>
      <c r="L126" s="374"/>
    </row>
    <row r="127" spans="1:12" x14ac:dyDescent="0.25">
      <c r="A127" s="120"/>
      <c r="B127" s="282" t="s">
        <v>218</v>
      </c>
      <c r="C127" s="120" t="s">
        <v>3262</v>
      </c>
      <c r="D127" s="120" t="s">
        <v>2918</v>
      </c>
      <c r="E127" s="122">
        <v>172.005</v>
      </c>
      <c r="F127" s="122">
        <v>57.335000000000001</v>
      </c>
      <c r="G127" s="122">
        <v>33.869999999999997</v>
      </c>
      <c r="H127" s="122">
        <v>6.15</v>
      </c>
      <c r="I127" s="122">
        <v>0</v>
      </c>
      <c r="J127" s="122">
        <v>269.36</v>
      </c>
      <c r="L127" s="374"/>
    </row>
    <row r="128" spans="1:12" x14ac:dyDescent="0.25">
      <c r="A128" s="120"/>
      <c r="B128" s="282" t="s">
        <v>189</v>
      </c>
      <c r="C128" s="120" t="s">
        <v>3263</v>
      </c>
      <c r="D128" s="120" t="s">
        <v>2919</v>
      </c>
      <c r="E128" s="122">
        <v>185.43</v>
      </c>
      <c r="F128" s="122">
        <v>61.81</v>
      </c>
      <c r="G128" s="122">
        <v>40.97</v>
      </c>
      <c r="H128" s="122">
        <v>6.15</v>
      </c>
      <c r="I128" s="122">
        <v>0</v>
      </c>
      <c r="J128" s="122">
        <v>294.36</v>
      </c>
      <c r="L128" s="374"/>
    </row>
    <row r="129" spans="1:12" x14ac:dyDescent="0.25">
      <c r="A129" s="120"/>
      <c r="B129" s="282" t="s">
        <v>379</v>
      </c>
      <c r="C129" s="120" t="s">
        <v>3264</v>
      </c>
      <c r="D129" s="120" t="s">
        <v>2920</v>
      </c>
      <c r="E129" s="122">
        <v>122.1225</v>
      </c>
      <c r="F129" s="122">
        <v>40.707500000000003</v>
      </c>
      <c r="G129" s="122">
        <v>24.54</v>
      </c>
      <c r="H129" s="122">
        <v>7.5</v>
      </c>
      <c r="I129" s="122">
        <v>0</v>
      </c>
      <c r="J129" s="122">
        <v>194.87</v>
      </c>
      <c r="L129" s="374"/>
    </row>
    <row r="130" spans="1:12" x14ac:dyDescent="0.25">
      <c r="A130" s="120"/>
      <c r="B130" s="282" t="s">
        <v>261</v>
      </c>
      <c r="C130" s="120" t="s">
        <v>3265</v>
      </c>
      <c r="D130" s="120" t="s">
        <v>2921</v>
      </c>
      <c r="E130" s="122">
        <v>153.78750000000002</v>
      </c>
      <c r="F130" s="122">
        <v>51.262500000000003</v>
      </c>
      <c r="G130" s="122">
        <v>29.09</v>
      </c>
      <c r="H130" s="122">
        <v>7.5</v>
      </c>
      <c r="I130" s="122">
        <v>0</v>
      </c>
      <c r="J130" s="122">
        <v>241.64</v>
      </c>
      <c r="L130" s="374"/>
    </row>
    <row r="131" spans="1:12" x14ac:dyDescent="0.25">
      <c r="A131" s="120"/>
      <c r="B131" s="282" t="s">
        <v>85</v>
      </c>
      <c r="C131" s="120" t="s">
        <v>3266</v>
      </c>
      <c r="D131" s="120" t="s">
        <v>2922</v>
      </c>
      <c r="E131" s="122">
        <v>170.64000000000001</v>
      </c>
      <c r="F131" s="122">
        <v>56.88</v>
      </c>
      <c r="G131" s="122">
        <v>34.299999999999997</v>
      </c>
      <c r="H131" s="122">
        <v>7.5</v>
      </c>
      <c r="I131" s="122">
        <v>0</v>
      </c>
      <c r="J131" s="122">
        <v>269.32</v>
      </c>
      <c r="L131" s="374"/>
    </row>
    <row r="132" spans="1:12" x14ac:dyDescent="0.25">
      <c r="A132" s="120"/>
      <c r="B132" s="282" t="s">
        <v>77</v>
      </c>
      <c r="C132" s="120" t="s">
        <v>3267</v>
      </c>
      <c r="D132" s="120" t="s">
        <v>2923</v>
      </c>
      <c r="E132" s="122">
        <v>150.0975</v>
      </c>
      <c r="F132" s="122">
        <v>50.032499999999999</v>
      </c>
      <c r="G132" s="122">
        <v>32.01</v>
      </c>
      <c r="H132" s="122">
        <v>8.76</v>
      </c>
      <c r="I132" s="122">
        <v>0</v>
      </c>
      <c r="J132" s="122">
        <v>240.9</v>
      </c>
      <c r="L132" s="374"/>
    </row>
    <row r="133" spans="1:12" x14ac:dyDescent="0.25">
      <c r="A133" s="120"/>
      <c r="B133" s="282" t="s">
        <v>208</v>
      </c>
      <c r="C133" s="120" t="s">
        <v>3268</v>
      </c>
      <c r="D133" s="120" t="s">
        <v>2924</v>
      </c>
      <c r="E133" s="122">
        <v>191.535</v>
      </c>
      <c r="F133" s="122">
        <v>63.844999999999999</v>
      </c>
      <c r="G133" s="122">
        <v>37.979999999999997</v>
      </c>
      <c r="H133" s="122">
        <v>8.76</v>
      </c>
      <c r="I133" s="122">
        <v>0</v>
      </c>
      <c r="J133" s="122">
        <v>302.12</v>
      </c>
      <c r="L133" s="374"/>
    </row>
    <row r="134" spans="1:12" x14ac:dyDescent="0.25">
      <c r="A134" s="120"/>
      <c r="B134" s="282" t="s">
        <v>239</v>
      </c>
      <c r="C134" s="120" t="s">
        <v>3269</v>
      </c>
      <c r="D134" s="120" t="s">
        <v>2925</v>
      </c>
      <c r="E134" s="122">
        <v>208.3725</v>
      </c>
      <c r="F134" s="122">
        <v>69.457499999999996</v>
      </c>
      <c r="G134" s="122">
        <v>45.08</v>
      </c>
      <c r="H134" s="122">
        <v>8.76</v>
      </c>
      <c r="I134" s="122">
        <v>0</v>
      </c>
      <c r="J134" s="122">
        <v>331.67</v>
      </c>
      <c r="L134" s="374"/>
    </row>
    <row r="135" spans="1:12" x14ac:dyDescent="0.25">
      <c r="A135" s="120"/>
      <c r="D135" s="120" t="s">
        <v>1164</v>
      </c>
      <c r="E135" s="122"/>
      <c r="L135" s="374"/>
    </row>
    <row r="136" spans="1:12" x14ac:dyDescent="0.25">
      <c r="A136" s="120"/>
      <c r="B136" s="282" t="s">
        <v>214</v>
      </c>
      <c r="C136" s="120" t="s">
        <v>3270</v>
      </c>
      <c r="D136" s="120" t="s">
        <v>3622</v>
      </c>
      <c r="E136" s="122">
        <v>4.161314207174212</v>
      </c>
      <c r="F136" s="122">
        <v>18.604478164163723</v>
      </c>
      <c r="G136" s="122">
        <v>26.33</v>
      </c>
      <c r="H136" s="122">
        <v>1.92</v>
      </c>
      <c r="I136" s="122">
        <v>0</v>
      </c>
      <c r="J136" s="122">
        <v>51.02</v>
      </c>
      <c r="L136" s="374"/>
    </row>
    <row r="137" spans="1:12" x14ac:dyDescent="0.25">
      <c r="A137" s="120"/>
      <c r="B137" s="282" t="s">
        <v>1292</v>
      </c>
      <c r="C137" s="120" t="s">
        <v>3271</v>
      </c>
      <c r="D137" s="120" t="s">
        <v>3623</v>
      </c>
      <c r="E137" s="122">
        <v>3.6796935052537667</v>
      </c>
      <c r="F137" s="122">
        <v>12.924128315958708</v>
      </c>
      <c r="G137" s="122">
        <v>42.21</v>
      </c>
      <c r="H137" s="122">
        <v>5.24</v>
      </c>
      <c r="I137" s="122">
        <v>0</v>
      </c>
      <c r="J137" s="122">
        <v>64.05</v>
      </c>
      <c r="L137" s="374"/>
    </row>
    <row r="138" spans="1:12" x14ac:dyDescent="0.25">
      <c r="A138" s="120"/>
      <c r="B138" s="282" t="s">
        <v>1293</v>
      </c>
      <c r="C138" s="120" t="s">
        <v>3272</v>
      </c>
      <c r="D138" s="120" t="s">
        <v>3624</v>
      </c>
      <c r="E138" s="122">
        <v>23.594999999999999</v>
      </c>
      <c r="F138" s="122">
        <v>7.8650000000000002</v>
      </c>
      <c r="G138" s="122">
        <v>43.54</v>
      </c>
      <c r="H138" s="122">
        <v>7.57</v>
      </c>
      <c r="I138" s="122">
        <v>0</v>
      </c>
      <c r="J138" s="122">
        <v>82.57</v>
      </c>
      <c r="L138" s="374"/>
    </row>
    <row r="139" spans="1:12" x14ac:dyDescent="0.25">
      <c r="A139" s="120"/>
      <c r="B139" s="282" t="s">
        <v>2509</v>
      </c>
      <c r="C139" s="120" t="s">
        <v>3273</v>
      </c>
      <c r="D139" s="120" t="s">
        <v>3625</v>
      </c>
      <c r="E139" s="122">
        <v>44.404109289343687</v>
      </c>
      <c r="F139" s="122">
        <v>24.473136386021228</v>
      </c>
      <c r="G139" s="122">
        <v>26.33</v>
      </c>
      <c r="H139" s="122">
        <v>1.92</v>
      </c>
      <c r="I139" s="122">
        <v>0</v>
      </c>
      <c r="J139" s="122">
        <v>97.13</v>
      </c>
      <c r="L139" s="374"/>
    </row>
    <row r="140" spans="1:12" x14ac:dyDescent="0.25">
      <c r="A140" s="120"/>
      <c r="B140" s="282" t="s">
        <v>2514</v>
      </c>
      <c r="C140" s="120" t="s">
        <v>3274</v>
      </c>
      <c r="D140" s="120" t="s">
        <v>3626</v>
      </c>
      <c r="E140" s="122">
        <v>43.90334339237419</v>
      </c>
      <c r="F140" s="122">
        <v>25.446396300384368</v>
      </c>
      <c r="G140" s="122">
        <v>26.33</v>
      </c>
      <c r="H140" s="122">
        <v>1.92</v>
      </c>
      <c r="I140" s="122">
        <v>0</v>
      </c>
      <c r="J140" s="122">
        <v>97.6</v>
      </c>
      <c r="L140" s="374"/>
    </row>
    <row r="141" spans="1:12" x14ac:dyDescent="0.25">
      <c r="A141" s="120"/>
      <c r="B141" s="282" t="s">
        <v>2207</v>
      </c>
      <c r="C141" s="120" t="s">
        <v>3275</v>
      </c>
      <c r="D141" s="120" t="s">
        <v>3627</v>
      </c>
      <c r="E141" s="122">
        <v>160.05425027366238</v>
      </c>
      <c r="F141" s="122">
        <v>45.505987032304745</v>
      </c>
      <c r="G141" s="122">
        <v>32.75</v>
      </c>
      <c r="H141" s="122">
        <v>4</v>
      </c>
      <c r="I141" s="122">
        <v>0</v>
      </c>
      <c r="J141" s="122">
        <v>242.31</v>
      </c>
      <c r="L141" s="374"/>
    </row>
    <row r="142" spans="1:12" x14ac:dyDescent="0.25">
      <c r="A142" s="120"/>
      <c r="B142" s="282" t="s">
        <v>2314</v>
      </c>
      <c r="C142" s="120" t="s">
        <v>3276</v>
      </c>
      <c r="D142" s="120" t="s">
        <v>3628</v>
      </c>
      <c r="E142" s="122">
        <v>146.07</v>
      </c>
      <c r="F142" s="122">
        <v>48.69</v>
      </c>
      <c r="G142" s="122">
        <v>31.3</v>
      </c>
      <c r="H142" s="122">
        <v>4.0199999999999996</v>
      </c>
      <c r="I142" s="122">
        <v>0</v>
      </c>
      <c r="J142" s="122">
        <v>230.08</v>
      </c>
      <c r="L142" s="374"/>
    </row>
    <row r="143" spans="1:12" x14ac:dyDescent="0.25">
      <c r="A143" s="120"/>
      <c r="B143" s="282" t="s">
        <v>2318</v>
      </c>
      <c r="C143" s="120" t="s">
        <v>3277</v>
      </c>
      <c r="D143" s="120" t="s">
        <v>3629</v>
      </c>
      <c r="E143" s="122">
        <v>164.4375</v>
      </c>
      <c r="F143" s="122">
        <v>54.8125</v>
      </c>
      <c r="G143" s="122">
        <v>35.42</v>
      </c>
      <c r="H143" s="122">
        <v>6.54</v>
      </c>
      <c r="I143" s="122">
        <v>0</v>
      </c>
      <c r="J143" s="122">
        <v>261.20999999999998</v>
      </c>
      <c r="L143" s="374"/>
    </row>
    <row r="144" spans="1:12" x14ac:dyDescent="0.25">
      <c r="A144" s="120"/>
      <c r="B144" s="282" t="s">
        <v>2332</v>
      </c>
      <c r="C144" s="120" t="s">
        <v>3278</v>
      </c>
      <c r="D144" s="120" t="s">
        <v>3630</v>
      </c>
      <c r="E144" s="122">
        <v>296.04431621690628</v>
      </c>
      <c r="F144" s="122">
        <v>63.120390551587107</v>
      </c>
      <c r="G144" s="122">
        <v>41.64</v>
      </c>
      <c r="H144" s="122">
        <v>6.54</v>
      </c>
      <c r="I144" s="122">
        <v>0</v>
      </c>
      <c r="J144" s="122">
        <v>407.34</v>
      </c>
      <c r="L144" s="374"/>
    </row>
    <row r="145" spans="1:12" x14ac:dyDescent="0.25">
      <c r="A145" s="120"/>
      <c r="B145" s="282" t="s">
        <v>2254</v>
      </c>
      <c r="C145" s="120" t="s">
        <v>2255</v>
      </c>
      <c r="D145" s="120" t="s">
        <v>3631</v>
      </c>
      <c r="E145" s="122">
        <v>440.76750000000004</v>
      </c>
      <c r="F145" s="122">
        <v>146.92250000000001</v>
      </c>
      <c r="G145" s="122">
        <v>58.86</v>
      </c>
      <c r="H145" s="122">
        <v>8.6300000000000008</v>
      </c>
      <c r="I145" s="122">
        <v>0</v>
      </c>
      <c r="J145" s="122">
        <v>655.17999999999995</v>
      </c>
      <c r="L145" s="374"/>
    </row>
    <row r="146" spans="1:12" x14ac:dyDescent="0.25">
      <c r="A146" s="120"/>
      <c r="B146" s="282" t="s">
        <v>2549</v>
      </c>
      <c r="C146" s="120" t="s">
        <v>3279</v>
      </c>
      <c r="D146" s="120" t="s">
        <v>3632</v>
      </c>
      <c r="E146" s="122">
        <v>178.71</v>
      </c>
      <c r="F146" s="122">
        <v>59.57</v>
      </c>
      <c r="G146" s="122">
        <v>42.21</v>
      </c>
      <c r="H146" s="122">
        <v>5.24</v>
      </c>
      <c r="I146" s="122">
        <v>0</v>
      </c>
      <c r="J146" s="122">
        <v>285.73</v>
      </c>
      <c r="L146" s="374"/>
    </row>
    <row r="147" spans="1:12" x14ac:dyDescent="0.25">
      <c r="A147" s="120"/>
      <c r="B147" s="282" t="s">
        <v>2553</v>
      </c>
      <c r="C147" s="120" t="s">
        <v>3280</v>
      </c>
      <c r="D147" s="120" t="s">
        <v>3633</v>
      </c>
      <c r="E147" s="122">
        <v>204.5025</v>
      </c>
      <c r="F147" s="122">
        <v>68.167500000000004</v>
      </c>
      <c r="G147" s="122">
        <v>42.21</v>
      </c>
      <c r="H147" s="122">
        <v>5.24</v>
      </c>
      <c r="I147" s="122">
        <v>0</v>
      </c>
      <c r="J147" s="122">
        <v>320.12</v>
      </c>
      <c r="L147" s="374"/>
    </row>
    <row r="148" spans="1:12" x14ac:dyDescent="0.25">
      <c r="A148" s="120"/>
      <c r="B148" s="282" t="s">
        <v>2557</v>
      </c>
      <c r="C148" s="120" t="s">
        <v>3281</v>
      </c>
      <c r="D148" s="120" t="s">
        <v>3634</v>
      </c>
      <c r="E148" s="122">
        <v>198.08250000000001</v>
      </c>
      <c r="F148" s="122">
        <v>66.027500000000003</v>
      </c>
      <c r="G148" s="122">
        <v>42.21</v>
      </c>
      <c r="H148" s="122">
        <v>5.24</v>
      </c>
      <c r="I148" s="122">
        <v>0</v>
      </c>
      <c r="J148" s="122">
        <v>311.56</v>
      </c>
      <c r="L148" s="374"/>
    </row>
    <row r="149" spans="1:12" x14ac:dyDescent="0.25">
      <c r="A149" s="120"/>
      <c r="B149" s="282" t="s">
        <v>2561</v>
      </c>
      <c r="C149" s="120" t="s">
        <v>3282</v>
      </c>
      <c r="D149" s="120" t="s">
        <v>3635</v>
      </c>
      <c r="E149" s="122">
        <v>288.03750000000002</v>
      </c>
      <c r="F149" s="122">
        <v>96.012500000000003</v>
      </c>
      <c r="G149" s="122">
        <v>43.54</v>
      </c>
      <c r="H149" s="122">
        <v>7.57</v>
      </c>
      <c r="I149" s="122">
        <v>0</v>
      </c>
      <c r="J149" s="122">
        <v>435.16</v>
      </c>
      <c r="L149" s="374"/>
    </row>
    <row r="150" spans="1:12" x14ac:dyDescent="0.25">
      <c r="A150" s="120"/>
      <c r="B150" s="282" t="s">
        <v>2565</v>
      </c>
      <c r="C150" s="120" t="s">
        <v>3283</v>
      </c>
      <c r="D150" s="120" t="s">
        <v>3636</v>
      </c>
      <c r="E150" s="122">
        <v>161.5275</v>
      </c>
      <c r="F150" s="122">
        <v>53.842500000000001</v>
      </c>
      <c r="G150" s="122">
        <v>39.42</v>
      </c>
      <c r="H150" s="122">
        <v>3.12</v>
      </c>
      <c r="I150" s="122">
        <v>0</v>
      </c>
      <c r="J150" s="122">
        <v>257.91000000000003</v>
      </c>
      <c r="L150" s="374"/>
    </row>
    <row r="151" spans="1:12" x14ac:dyDescent="0.25">
      <c r="A151" s="120"/>
      <c r="D151" s="120" t="s">
        <v>1164</v>
      </c>
      <c r="E151" s="122"/>
      <c r="L151" s="374"/>
    </row>
    <row r="152" spans="1:12" x14ac:dyDescent="0.25">
      <c r="A152" s="120"/>
      <c r="B152" s="282" t="s">
        <v>9</v>
      </c>
      <c r="C152" s="120" t="s">
        <v>3284</v>
      </c>
      <c r="D152" s="120" t="s">
        <v>2995</v>
      </c>
      <c r="E152" s="122">
        <v>20.525848188900071</v>
      </c>
      <c r="F152" s="122">
        <v>4.9180859728180213</v>
      </c>
      <c r="G152" s="122">
        <v>5.83</v>
      </c>
      <c r="H152" s="122">
        <v>0.78</v>
      </c>
      <c r="I152" s="122">
        <v>0</v>
      </c>
      <c r="J152" s="122">
        <v>32.049999999999997</v>
      </c>
      <c r="L152" s="374"/>
    </row>
    <row r="153" spans="1:12" x14ac:dyDescent="0.25">
      <c r="A153" s="120"/>
      <c r="B153" s="282" t="s">
        <v>3072</v>
      </c>
      <c r="C153" s="120" t="s">
        <v>3073</v>
      </c>
      <c r="D153" s="120" t="s">
        <v>2996</v>
      </c>
      <c r="E153" s="122">
        <v>32.359407015843985</v>
      </c>
      <c r="F153" s="122">
        <v>8.3177177202121744</v>
      </c>
      <c r="G153" s="122">
        <v>6.93</v>
      </c>
      <c r="H153" s="122">
        <v>0.86</v>
      </c>
      <c r="I153" s="122">
        <v>0</v>
      </c>
      <c r="J153" s="122">
        <v>48.47</v>
      </c>
      <c r="L153" s="374"/>
    </row>
    <row r="154" spans="1:12" x14ac:dyDescent="0.25">
      <c r="A154" s="120"/>
      <c r="B154" s="282" t="s">
        <v>3074</v>
      </c>
      <c r="C154" s="120" t="s">
        <v>3075</v>
      </c>
      <c r="D154" s="120" t="s">
        <v>2997</v>
      </c>
      <c r="E154" s="122">
        <v>32.359407015843985</v>
      </c>
      <c r="F154" s="122">
        <v>8.3177177202121744</v>
      </c>
      <c r="G154" s="122">
        <v>6.93</v>
      </c>
      <c r="H154" s="122">
        <v>0.83</v>
      </c>
      <c r="I154" s="122">
        <v>0</v>
      </c>
      <c r="J154" s="122">
        <v>48.44</v>
      </c>
      <c r="L154" s="374"/>
    </row>
    <row r="155" spans="1:12" x14ac:dyDescent="0.25">
      <c r="A155" s="120"/>
      <c r="B155" s="282" t="s">
        <v>3579</v>
      </c>
      <c r="C155" s="120" t="s">
        <v>3592</v>
      </c>
      <c r="D155" s="120" t="s">
        <v>3621</v>
      </c>
      <c r="E155" s="122">
        <v>57.590628810672861</v>
      </c>
      <c r="F155" s="122">
        <v>20.142068430988985</v>
      </c>
      <c r="G155" s="122">
        <v>8.42</v>
      </c>
      <c r="H155" s="122">
        <v>0.67</v>
      </c>
      <c r="I155" s="122">
        <v>0</v>
      </c>
      <c r="J155" s="122">
        <v>86.82</v>
      </c>
      <c r="L155" s="374"/>
    </row>
    <row r="156" spans="1:12" x14ac:dyDescent="0.25">
      <c r="A156" s="120"/>
      <c r="B156" s="282" t="s">
        <v>11</v>
      </c>
      <c r="C156" s="120" t="s">
        <v>3077</v>
      </c>
      <c r="D156" s="120" t="s">
        <v>2999</v>
      </c>
      <c r="E156" s="122">
        <v>57.590628810672861</v>
      </c>
      <c r="F156" s="122">
        <v>20.142068430988985</v>
      </c>
      <c r="G156" s="122">
        <v>6.93</v>
      </c>
      <c r="H156" s="122">
        <v>0.84</v>
      </c>
      <c r="I156" s="122">
        <v>0</v>
      </c>
      <c r="J156" s="122">
        <v>85.5</v>
      </c>
      <c r="L156" s="374"/>
    </row>
    <row r="157" spans="1:12" x14ac:dyDescent="0.25">
      <c r="A157" s="120"/>
      <c r="B157" s="282" t="s">
        <v>447</v>
      </c>
      <c r="C157" s="120" t="s">
        <v>3078</v>
      </c>
      <c r="D157" s="120" t="s">
        <v>3000</v>
      </c>
      <c r="E157" s="122">
        <v>30.214725085990644</v>
      </c>
      <c r="F157" s="122">
        <v>6.1068102374022946</v>
      </c>
      <c r="G157" s="122">
        <v>10.82</v>
      </c>
      <c r="H157" s="122">
        <v>0.86</v>
      </c>
      <c r="I157" s="122">
        <v>0</v>
      </c>
      <c r="J157" s="122">
        <v>48</v>
      </c>
      <c r="L157" s="374"/>
    </row>
    <row r="158" spans="1:12" x14ac:dyDescent="0.25">
      <c r="A158" s="120"/>
      <c r="B158" s="282" t="s">
        <v>3079</v>
      </c>
      <c r="C158" s="120" t="s">
        <v>3080</v>
      </c>
      <c r="D158" s="120" t="s">
        <v>3001</v>
      </c>
      <c r="E158" s="122">
        <v>38.092249250665709</v>
      </c>
      <c r="F158" s="122">
        <v>7.364393805423898</v>
      </c>
      <c r="G158" s="122">
        <v>7.49</v>
      </c>
      <c r="H158" s="122">
        <v>1.47</v>
      </c>
      <c r="I158" s="122">
        <v>0</v>
      </c>
      <c r="J158" s="122">
        <v>54.42</v>
      </c>
      <c r="L158" s="374"/>
    </row>
    <row r="159" spans="1:12" x14ac:dyDescent="0.25">
      <c r="A159" s="120"/>
      <c r="B159" s="282" t="s">
        <v>3081</v>
      </c>
      <c r="C159" s="120" t="s">
        <v>3082</v>
      </c>
      <c r="D159" s="120" t="s">
        <v>3002</v>
      </c>
      <c r="E159" s="122">
        <v>38.092249250665709</v>
      </c>
      <c r="F159" s="122">
        <v>7.364393805423898</v>
      </c>
      <c r="G159" s="122">
        <v>10.82</v>
      </c>
      <c r="H159" s="122">
        <v>0.86</v>
      </c>
      <c r="I159" s="122">
        <v>0</v>
      </c>
      <c r="J159" s="122">
        <v>57.14</v>
      </c>
      <c r="L159" s="374"/>
    </row>
    <row r="160" spans="1:12" x14ac:dyDescent="0.25">
      <c r="A160" s="120"/>
      <c r="B160" s="282" t="s">
        <v>3083</v>
      </c>
      <c r="C160" s="120" t="s">
        <v>3084</v>
      </c>
      <c r="D160" s="120" t="s">
        <v>3003</v>
      </c>
      <c r="E160" s="122">
        <v>43.701116115702284</v>
      </c>
      <c r="F160" s="122">
        <v>7.7312433190609946</v>
      </c>
      <c r="G160" s="122">
        <v>7.49</v>
      </c>
      <c r="H160" s="122">
        <v>1.47</v>
      </c>
      <c r="I160" s="122">
        <v>0</v>
      </c>
      <c r="J160" s="122">
        <v>60.39</v>
      </c>
      <c r="L160" s="374"/>
    </row>
    <row r="161" spans="1:12" x14ac:dyDescent="0.25">
      <c r="A161" s="120"/>
      <c r="B161" s="282" t="s">
        <v>3085</v>
      </c>
      <c r="C161" s="120" t="s">
        <v>3086</v>
      </c>
      <c r="D161" s="120" t="s">
        <v>3004</v>
      </c>
      <c r="E161" s="122">
        <v>43.701116115702284</v>
      </c>
      <c r="F161" s="122">
        <v>7.7312433190609946</v>
      </c>
      <c r="G161" s="122">
        <v>8.91</v>
      </c>
      <c r="H161" s="122">
        <v>0.86</v>
      </c>
      <c r="I161" s="122">
        <v>0</v>
      </c>
      <c r="J161" s="122">
        <v>61.2</v>
      </c>
      <c r="L161" s="374"/>
    </row>
    <row r="162" spans="1:12" x14ac:dyDescent="0.25">
      <c r="A162" s="120"/>
      <c r="B162" s="282" t="s">
        <v>467</v>
      </c>
      <c r="C162" s="120" t="s">
        <v>3087</v>
      </c>
      <c r="D162" s="120" t="s">
        <v>3005</v>
      </c>
      <c r="E162" s="122">
        <v>29.862488393993598</v>
      </c>
      <c r="F162" s="122">
        <v>10.7583354398131</v>
      </c>
      <c r="G162" s="122">
        <v>5.83</v>
      </c>
      <c r="H162" s="122">
        <v>0.97</v>
      </c>
      <c r="I162" s="122">
        <v>0</v>
      </c>
      <c r="J162" s="122">
        <v>47.42</v>
      </c>
      <c r="L162" s="374"/>
    </row>
    <row r="163" spans="1:12" x14ac:dyDescent="0.25">
      <c r="A163" s="120"/>
      <c r="B163" s="282" t="s">
        <v>461</v>
      </c>
      <c r="C163" s="120" t="s">
        <v>3088</v>
      </c>
      <c r="D163" s="120" t="s">
        <v>3006</v>
      </c>
      <c r="E163" s="122">
        <v>41.901880131367811</v>
      </c>
      <c r="F163" s="122">
        <v>9.718679151805711</v>
      </c>
      <c r="G163" s="122">
        <v>5.83</v>
      </c>
      <c r="H163" s="122">
        <v>0.97</v>
      </c>
      <c r="I163" s="122">
        <v>0</v>
      </c>
      <c r="J163" s="122">
        <v>58.42</v>
      </c>
      <c r="L163" s="374"/>
    </row>
    <row r="164" spans="1:12" x14ac:dyDescent="0.25">
      <c r="A164" s="120"/>
      <c r="B164" s="282" t="s">
        <v>459</v>
      </c>
      <c r="C164" s="120" t="s">
        <v>3089</v>
      </c>
      <c r="D164" s="120" t="s">
        <v>3007</v>
      </c>
      <c r="E164" s="122">
        <v>52.46823721717746</v>
      </c>
      <c r="F164" s="122">
        <v>11.325430440849983</v>
      </c>
      <c r="G164" s="122">
        <v>6.93</v>
      </c>
      <c r="H164" s="122">
        <v>0.97</v>
      </c>
      <c r="I164" s="122">
        <v>0</v>
      </c>
      <c r="J164" s="122">
        <v>71.69</v>
      </c>
      <c r="L164" s="374"/>
    </row>
    <row r="165" spans="1:12" x14ac:dyDescent="0.25">
      <c r="A165" s="120"/>
      <c r="B165" s="282" t="s">
        <v>476</v>
      </c>
      <c r="C165" s="120" t="s">
        <v>3090</v>
      </c>
      <c r="D165" s="120" t="s">
        <v>3008</v>
      </c>
      <c r="E165" s="122">
        <v>21.75</v>
      </c>
      <c r="F165" s="122">
        <v>7.25</v>
      </c>
      <c r="G165" s="122">
        <v>5.83</v>
      </c>
      <c r="H165" s="122">
        <v>0.97</v>
      </c>
      <c r="I165" s="122">
        <v>0</v>
      </c>
      <c r="J165" s="122">
        <v>35.799999999999997</v>
      </c>
      <c r="L165" s="374"/>
    </row>
    <row r="166" spans="1:12" x14ac:dyDescent="0.25">
      <c r="A166" s="120"/>
      <c r="B166" s="282" t="s">
        <v>469</v>
      </c>
      <c r="C166" s="120" t="s">
        <v>3091</v>
      </c>
      <c r="D166" s="120" t="s">
        <v>3009</v>
      </c>
      <c r="E166" s="122">
        <v>26.107500000000002</v>
      </c>
      <c r="F166" s="122">
        <v>8.7025000000000006</v>
      </c>
      <c r="G166" s="122">
        <v>5.83</v>
      </c>
      <c r="H166" s="122">
        <v>0.97</v>
      </c>
      <c r="I166" s="122">
        <v>0</v>
      </c>
      <c r="J166" s="122">
        <v>41.61</v>
      </c>
      <c r="L166" s="374"/>
    </row>
    <row r="167" spans="1:12" x14ac:dyDescent="0.25">
      <c r="A167" s="120"/>
      <c r="B167" s="282" t="s">
        <v>3092</v>
      </c>
      <c r="C167" s="120" t="s">
        <v>3093</v>
      </c>
      <c r="D167" s="120" t="s">
        <v>3010</v>
      </c>
      <c r="E167" s="122">
        <v>29.377500000000001</v>
      </c>
      <c r="F167" s="122">
        <v>9.7925000000000004</v>
      </c>
      <c r="G167" s="122">
        <v>6.93</v>
      </c>
      <c r="H167" s="122">
        <v>0.97</v>
      </c>
      <c r="I167" s="122">
        <v>0</v>
      </c>
      <c r="J167" s="122">
        <v>47.07</v>
      </c>
      <c r="L167" s="374"/>
    </row>
    <row r="168" spans="1:12" x14ac:dyDescent="0.25">
      <c r="A168" s="120"/>
      <c r="B168" s="282" t="s">
        <v>3094</v>
      </c>
      <c r="C168" s="120" t="s">
        <v>3095</v>
      </c>
      <c r="D168" s="120" t="s">
        <v>3011</v>
      </c>
      <c r="E168" s="122">
        <v>29.377500000000001</v>
      </c>
      <c r="F168" s="122">
        <v>9.7925000000000004</v>
      </c>
      <c r="G168" s="122">
        <v>8.42</v>
      </c>
      <c r="H168" s="122">
        <v>0.97</v>
      </c>
      <c r="I168" s="122">
        <v>0</v>
      </c>
      <c r="J168" s="122">
        <v>48.56</v>
      </c>
      <c r="L168" s="374"/>
    </row>
    <row r="169" spans="1:12" x14ac:dyDescent="0.25">
      <c r="A169" s="120"/>
      <c r="D169" s="120" t="s">
        <v>1164</v>
      </c>
      <c r="E169" s="122"/>
      <c r="L169" s="374"/>
    </row>
    <row r="170" spans="1:12" x14ac:dyDescent="0.25">
      <c r="A170" s="120"/>
      <c r="B170" s="282" t="s">
        <v>2491</v>
      </c>
      <c r="C170" s="120" t="s">
        <v>3285</v>
      </c>
      <c r="D170" s="120" t="s">
        <v>3637</v>
      </c>
      <c r="E170" s="122">
        <v>0</v>
      </c>
      <c r="F170" s="122">
        <v>7.35</v>
      </c>
      <c r="G170" s="122">
        <v>0</v>
      </c>
      <c r="H170" s="122">
        <v>0</v>
      </c>
      <c r="I170" s="122">
        <v>0</v>
      </c>
      <c r="J170" s="122">
        <v>7.35</v>
      </c>
      <c r="L170" s="374"/>
    </row>
    <row r="171" spans="1:12" x14ac:dyDescent="0.25">
      <c r="A171" s="120"/>
      <c r="B171" s="282" t="s">
        <v>2493</v>
      </c>
      <c r="C171" s="120" t="s">
        <v>3286</v>
      </c>
      <c r="D171" s="120" t="s">
        <v>3638</v>
      </c>
      <c r="E171" s="122">
        <v>0</v>
      </c>
      <c r="F171" s="122">
        <v>7.16</v>
      </c>
      <c r="G171" s="122">
        <v>0</v>
      </c>
      <c r="H171" s="122">
        <v>0</v>
      </c>
      <c r="I171" s="122">
        <v>0</v>
      </c>
      <c r="J171" s="122">
        <v>7.16</v>
      </c>
      <c r="L171" s="374"/>
    </row>
    <row r="172" spans="1:12" x14ac:dyDescent="0.25">
      <c r="A172" s="120"/>
      <c r="B172" s="282" t="s">
        <v>3593</v>
      </c>
      <c r="C172" s="120" t="s">
        <v>3547</v>
      </c>
      <c r="D172" s="120" t="s">
        <v>3639</v>
      </c>
      <c r="E172" s="122">
        <v>0</v>
      </c>
      <c r="F172" s="122">
        <v>11.97</v>
      </c>
      <c r="G172" s="122">
        <v>0</v>
      </c>
      <c r="H172" s="122">
        <v>0</v>
      </c>
      <c r="I172" s="122">
        <v>0</v>
      </c>
      <c r="J172" s="122">
        <v>11.97</v>
      </c>
      <c r="L172" s="374"/>
    </row>
    <row r="173" spans="1:12" x14ac:dyDescent="0.25">
      <c r="A173" s="120"/>
      <c r="B173" s="282" t="s">
        <v>3594</v>
      </c>
      <c r="C173" s="120" t="s">
        <v>3549</v>
      </c>
      <c r="D173" s="120" t="s">
        <v>3640</v>
      </c>
      <c r="E173" s="122">
        <v>0</v>
      </c>
      <c r="F173" s="122">
        <v>16.91</v>
      </c>
      <c r="G173" s="122">
        <v>0</v>
      </c>
      <c r="H173" s="122">
        <v>0</v>
      </c>
      <c r="I173" s="122">
        <v>0</v>
      </c>
      <c r="J173" s="122">
        <v>16.91</v>
      </c>
      <c r="L173" s="374"/>
    </row>
    <row r="174" spans="1:12" x14ac:dyDescent="0.25">
      <c r="A174" s="120"/>
      <c r="B174" s="282" t="s">
        <v>3595</v>
      </c>
      <c r="C174" s="120" t="s">
        <v>3551</v>
      </c>
      <c r="D174" s="120" t="s">
        <v>3641</v>
      </c>
      <c r="E174" s="122">
        <v>0</v>
      </c>
      <c r="F174" s="122">
        <v>26.79</v>
      </c>
      <c r="G174" s="122">
        <v>0</v>
      </c>
      <c r="H174" s="122">
        <v>0</v>
      </c>
      <c r="I174" s="122">
        <v>0</v>
      </c>
      <c r="J174" s="122">
        <v>26.79</v>
      </c>
      <c r="L174" s="374"/>
    </row>
    <row r="175" spans="1:12" x14ac:dyDescent="0.25">
      <c r="A175" s="120"/>
      <c r="B175" s="282" t="s">
        <v>3596</v>
      </c>
      <c r="C175" s="120" t="s">
        <v>3553</v>
      </c>
      <c r="D175" s="120" t="s">
        <v>3642</v>
      </c>
      <c r="E175" s="122">
        <v>0</v>
      </c>
      <c r="F175" s="122">
        <v>46.04</v>
      </c>
      <c r="G175" s="122">
        <v>0</v>
      </c>
      <c r="H175" s="122">
        <v>0</v>
      </c>
      <c r="I175" s="122">
        <v>0</v>
      </c>
      <c r="J175" s="122">
        <v>46.04</v>
      </c>
      <c r="L175" s="374"/>
    </row>
    <row r="176" spans="1:12" x14ac:dyDescent="0.25">
      <c r="A176" s="120"/>
      <c r="B176" s="282" t="s">
        <v>3597</v>
      </c>
      <c r="C176" s="120" t="s">
        <v>3555</v>
      </c>
      <c r="D176" s="120" t="s">
        <v>3643</v>
      </c>
      <c r="E176" s="122">
        <v>0</v>
      </c>
      <c r="F176" s="122">
        <v>66.069999999999993</v>
      </c>
      <c r="G176" s="122">
        <v>0</v>
      </c>
      <c r="H176" s="122">
        <v>0</v>
      </c>
      <c r="I176" s="122">
        <v>0</v>
      </c>
      <c r="J176" s="122">
        <v>66.069999999999993</v>
      </c>
      <c r="L176" s="374"/>
    </row>
    <row r="177" spans="1:12" x14ac:dyDescent="0.25">
      <c r="A177" s="120"/>
      <c r="D177" s="120" t="s">
        <v>1164</v>
      </c>
      <c r="E177" s="122"/>
      <c r="L177" s="374"/>
    </row>
    <row r="178" spans="1:12" x14ac:dyDescent="0.25">
      <c r="A178" s="120"/>
      <c r="B178" s="282" t="s">
        <v>3598</v>
      </c>
      <c r="C178" s="120" t="s">
        <v>3547</v>
      </c>
      <c r="D178" s="120" t="s">
        <v>3644</v>
      </c>
      <c r="E178" s="122">
        <v>0</v>
      </c>
      <c r="F178" s="122">
        <v>11.97</v>
      </c>
      <c r="G178" s="122">
        <v>0</v>
      </c>
      <c r="H178" s="122">
        <v>0</v>
      </c>
      <c r="I178" s="122">
        <v>0</v>
      </c>
      <c r="J178" s="122">
        <v>11.97</v>
      </c>
      <c r="L178" s="374"/>
    </row>
    <row r="179" spans="1:12" x14ac:dyDescent="0.25">
      <c r="A179" s="120"/>
      <c r="B179" s="282" t="s">
        <v>3599</v>
      </c>
      <c r="C179" s="120" t="s">
        <v>3549</v>
      </c>
      <c r="D179" s="120" t="s">
        <v>3645</v>
      </c>
      <c r="E179" s="122">
        <v>0</v>
      </c>
      <c r="F179" s="122">
        <v>16.91</v>
      </c>
      <c r="G179" s="122">
        <v>0</v>
      </c>
      <c r="H179" s="122">
        <v>0</v>
      </c>
      <c r="I179" s="122">
        <v>0</v>
      </c>
      <c r="J179" s="122">
        <v>16.91</v>
      </c>
      <c r="L179" s="374"/>
    </row>
    <row r="180" spans="1:12" x14ac:dyDescent="0.25">
      <c r="A180" s="120"/>
      <c r="B180" s="282" t="s">
        <v>3600</v>
      </c>
      <c r="C180" s="120" t="s">
        <v>3551</v>
      </c>
      <c r="D180" s="120" t="s">
        <v>3646</v>
      </c>
      <c r="E180" s="122">
        <v>0</v>
      </c>
      <c r="F180" s="122">
        <v>26.79</v>
      </c>
      <c r="G180" s="122">
        <v>0</v>
      </c>
      <c r="H180" s="122">
        <v>0</v>
      </c>
      <c r="I180" s="122">
        <v>0</v>
      </c>
      <c r="J180" s="122">
        <v>26.79</v>
      </c>
      <c r="L180" s="374"/>
    </row>
    <row r="181" spans="1:12" x14ac:dyDescent="0.25">
      <c r="A181" s="120"/>
      <c r="B181" s="282" t="s">
        <v>3601</v>
      </c>
      <c r="C181" s="120" t="s">
        <v>3553</v>
      </c>
      <c r="D181" s="120" t="s">
        <v>3647</v>
      </c>
      <c r="E181" s="122">
        <v>0</v>
      </c>
      <c r="F181" s="122">
        <v>46.04</v>
      </c>
      <c r="G181" s="122">
        <v>0</v>
      </c>
      <c r="H181" s="122">
        <v>0</v>
      </c>
      <c r="I181" s="122">
        <v>0</v>
      </c>
      <c r="J181" s="122">
        <v>46.04</v>
      </c>
      <c r="L181" s="374"/>
    </row>
    <row r="182" spans="1:12" x14ac:dyDescent="0.25">
      <c r="A182" s="120"/>
      <c r="B182" s="282" t="s">
        <v>3602</v>
      </c>
      <c r="C182" s="120" t="s">
        <v>3555</v>
      </c>
      <c r="D182" s="120" t="s">
        <v>3648</v>
      </c>
      <c r="E182" s="122">
        <v>0</v>
      </c>
      <c r="F182" s="122">
        <v>66.069999999999993</v>
      </c>
      <c r="G182" s="122">
        <v>0</v>
      </c>
      <c r="H182" s="122">
        <v>0</v>
      </c>
      <c r="I182" s="122">
        <v>0</v>
      </c>
      <c r="J182" s="122">
        <v>66.069999999999993</v>
      </c>
      <c r="L182" s="374"/>
    </row>
    <row r="183" spans="1:12" x14ac:dyDescent="0.25">
      <c r="A183" s="120"/>
      <c r="D183" s="120" t="s">
        <v>1164</v>
      </c>
      <c r="E183" s="122"/>
      <c r="L183" s="374"/>
    </row>
    <row r="184" spans="1:12" x14ac:dyDescent="0.25">
      <c r="A184" s="120"/>
      <c r="B184" s="282" t="s">
        <v>2521</v>
      </c>
      <c r="C184" s="120" t="s">
        <v>2080</v>
      </c>
      <c r="D184" s="120" t="s">
        <v>3649</v>
      </c>
      <c r="E184" s="122">
        <v>32.887500000000003</v>
      </c>
      <c r="F184" s="122">
        <v>10.9625</v>
      </c>
      <c r="G184" s="122">
        <v>0</v>
      </c>
      <c r="H184" s="122">
        <v>0</v>
      </c>
      <c r="I184" s="122">
        <v>0</v>
      </c>
      <c r="J184" s="122">
        <v>43.85</v>
      </c>
      <c r="L184" s="374"/>
    </row>
    <row r="185" spans="1:12" x14ac:dyDescent="0.25">
      <c r="A185" s="120"/>
      <c r="B185" s="282" t="s">
        <v>2499</v>
      </c>
      <c r="C185" s="120" t="s">
        <v>2500</v>
      </c>
      <c r="D185" s="120" t="s">
        <v>3650</v>
      </c>
      <c r="E185" s="122">
        <v>23.962499999999999</v>
      </c>
      <c r="F185" s="122">
        <v>7.9874999999999998</v>
      </c>
      <c r="G185" s="122">
        <v>0</v>
      </c>
      <c r="H185" s="122">
        <v>0</v>
      </c>
      <c r="I185" s="122">
        <v>0</v>
      </c>
      <c r="J185" s="122">
        <v>31.95</v>
      </c>
      <c r="L185" s="374"/>
    </row>
    <row r="186" spans="1:12" x14ac:dyDescent="0.25">
      <c r="A186" s="120"/>
      <c r="B186" s="282" t="s">
        <v>2518</v>
      </c>
      <c r="C186" s="120" t="s">
        <v>3287</v>
      </c>
      <c r="D186" s="120" t="s">
        <v>3651</v>
      </c>
      <c r="E186" s="122">
        <v>169.60499999999999</v>
      </c>
      <c r="F186" s="122">
        <v>56.534999999999997</v>
      </c>
      <c r="G186" s="122">
        <v>0</v>
      </c>
      <c r="H186" s="122">
        <v>0</v>
      </c>
      <c r="I186" s="122">
        <v>0</v>
      </c>
      <c r="J186" s="122">
        <v>226.14</v>
      </c>
      <c r="L186" s="374"/>
    </row>
    <row r="187" spans="1:12" x14ac:dyDescent="0.25">
      <c r="A187" s="120"/>
      <c r="B187" s="282" t="s">
        <v>2522</v>
      </c>
      <c r="C187" s="120" t="s">
        <v>2523</v>
      </c>
      <c r="D187" s="120" t="s">
        <v>3652</v>
      </c>
      <c r="E187" s="122">
        <v>31.837500000000002</v>
      </c>
      <c r="F187" s="122">
        <v>10.612500000000001</v>
      </c>
      <c r="G187" s="122">
        <v>0</v>
      </c>
      <c r="H187" s="122">
        <v>0</v>
      </c>
      <c r="I187" s="122">
        <v>0</v>
      </c>
      <c r="J187" s="122">
        <v>42.45</v>
      </c>
      <c r="L187" s="374"/>
    </row>
    <row r="188" spans="1:12" x14ac:dyDescent="0.25">
      <c r="A188" s="120"/>
      <c r="B188" s="282" t="s">
        <v>2502</v>
      </c>
      <c r="C188" s="120" t="s">
        <v>3288</v>
      </c>
      <c r="D188" s="120" t="s">
        <v>3653</v>
      </c>
      <c r="E188" s="122">
        <v>27.172499999999999</v>
      </c>
      <c r="F188" s="122">
        <v>9.0574999999999992</v>
      </c>
      <c r="G188" s="122">
        <v>0</v>
      </c>
      <c r="H188" s="122">
        <v>0</v>
      </c>
      <c r="I188" s="122">
        <v>0</v>
      </c>
      <c r="J188" s="122">
        <v>36.229999999999997</v>
      </c>
      <c r="L188" s="374"/>
    </row>
    <row r="189" spans="1:12" x14ac:dyDescent="0.25">
      <c r="A189" s="120"/>
      <c r="B189" s="282" t="s">
        <v>2504</v>
      </c>
      <c r="C189" s="120" t="s">
        <v>3289</v>
      </c>
      <c r="D189" s="120" t="s">
        <v>3654</v>
      </c>
      <c r="E189" s="122">
        <v>69.765000000000001</v>
      </c>
      <c r="F189" s="122">
        <v>23.254999999999999</v>
      </c>
      <c r="G189" s="122">
        <v>0</v>
      </c>
      <c r="H189" s="122">
        <v>0</v>
      </c>
      <c r="I189" s="122">
        <v>0</v>
      </c>
      <c r="J189" s="122">
        <v>93.02</v>
      </c>
      <c r="L189" s="374"/>
    </row>
    <row r="190" spans="1:12" x14ac:dyDescent="0.25">
      <c r="A190" s="120"/>
      <c r="B190" s="282" t="s">
        <v>2526</v>
      </c>
      <c r="C190" s="120" t="s">
        <v>3098</v>
      </c>
      <c r="D190" s="120" t="s">
        <v>3655</v>
      </c>
      <c r="E190" s="122">
        <v>35.714999999999996</v>
      </c>
      <c r="F190" s="122">
        <v>11.904999999999999</v>
      </c>
      <c r="G190" s="122">
        <v>0</v>
      </c>
      <c r="H190" s="122">
        <v>0</v>
      </c>
      <c r="I190" s="122">
        <v>0</v>
      </c>
      <c r="J190" s="122">
        <v>47.62</v>
      </c>
      <c r="L190" s="374"/>
    </row>
    <row r="191" spans="1:12" x14ac:dyDescent="0.25">
      <c r="A191" s="120"/>
      <c r="B191" s="282" t="s">
        <v>2528</v>
      </c>
      <c r="C191" s="120" t="s">
        <v>2529</v>
      </c>
      <c r="D191" s="120" t="s">
        <v>3656</v>
      </c>
      <c r="E191" s="122">
        <v>61.522500000000001</v>
      </c>
      <c r="F191" s="122">
        <v>20.5075</v>
      </c>
      <c r="G191" s="122">
        <v>0</v>
      </c>
      <c r="H191" s="122">
        <v>0</v>
      </c>
      <c r="I191" s="122">
        <v>0</v>
      </c>
      <c r="J191" s="122">
        <v>82.03</v>
      </c>
      <c r="L191" s="374"/>
    </row>
    <row r="192" spans="1:12" x14ac:dyDescent="0.25">
      <c r="A192" s="120"/>
      <c r="B192" s="282" t="s">
        <v>2530</v>
      </c>
      <c r="C192" s="120" t="s">
        <v>2531</v>
      </c>
      <c r="D192" s="120" t="s">
        <v>3657</v>
      </c>
      <c r="E192" s="122">
        <v>77.947500000000005</v>
      </c>
      <c r="F192" s="122">
        <v>25.982500000000002</v>
      </c>
      <c r="G192" s="122">
        <v>0</v>
      </c>
      <c r="H192" s="122">
        <v>0</v>
      </c>
      <c r="I192" s="122">
        <v>0</v>
      </c>
      <c r="J192" s="122">
        <v>103.93</v>
      </c>
      <c r="L192" s="374"/>
    </row>
    <row r="193" spans="1:12" x14ac:dyDescent="0.25">
      <c r="B193" s="282" t="s">
        <v>2524</v>
      </c>
      <c r="C193" s="120" t="s">
        <v>3290</v>
      </c>
      <c r="D193" s="120" t="s">
        <v>3658</v>
      </c>
      <c r="E193" s="122">
        <v>180.88499999999999</v>
      </c>
      <c r="F193" s="122">
        <v>60.295000000000002</v>
      </c>
      <c r="G193" s="122">
        <v>13.31</v>
      </c>
      <c r="H193" s="122">
        <v>0</v>
      </c>
      <c r="I193" s="122">
        <v>0</v>
      </c>
      <c r="J193" s="122">
        <v>254.49</v>
      </c>
      <c r="L193" s="374"/>
    </row>
    <row r="194" spans="1:12" x14ac:dyDescent="0.25">
      <c r="B194" s="282" t="s">
        <v>2532</v>
      </c>
      <c r="C194" s="120" t="s">
        <v>3099</v>
      </c>
      <c r="D194" s="120" t="s">
        <v>3659</v>
      </c>
      <c r="E194" s="122">
        <v>27.36</v>
      </c>
      <c r="F194" s="122">
        <v>9.1199999999999992</v>
      </c>
      <c r="G194" s="122">
        <v>0</v>
      </c>
      <c r="H194" s="122">
        <v>0</v>
      </c>
      <c r="I194" s="122">
        <v>0</v>
      </c>
      <c r="J194" s="122">
        <v>36.479999999999997</v>
      </c>
      <c r="L194" s="374"/>
    </row>
    <row r="195" spans="1:12" x14ac:dyDescent="0.25">
      <c r="A195" s="121"/>
      <c r="B195" s="282" t="s">
        <v>2533</v>
      </c>
      <c r="C195" s="120" t="s">
        <v>3100</v>
      </c>
      <c r="D195" s="120" t="s">
        <v>3660</v>
      </c>
      <c r="E195" s="122">
        <v>16.664999999999999</v>
      </c>
      <c r="F195" s="122">
        <v>5.5549999999999997</v>
      </c>
      <c r="G195" s="122">
        <v>0</v>
      </c>
      <c r="H195" s="122">
        <v>0</v>
      </c>
      <c r="I195" s="122">
        <v>0</v>
      </c>
      <c r="J195" s="122">
        <v>22.22</v>
      </c>
      <c r="L195" s="374"/>
    </row>
    <row r="196" spans="1:12" x14ac:dyDescent="0.25">
      <c r="B196" s="282" t="s">
        <v>2534</v>
      </c>
      <c r="C196" s="120" t="s">
        <v>3101</v>
      </c>
      <c r="D196" s="120" t="s">
        <v>3661</v>
      </c>
      <c r="E196" s="122">
        <v>13.717499999999999</v>
      </c>
      <c r="F196" s="122">
        <v>4.5724999999999998</v>
      </c>
      <c r="G196" s="122">
        <v>0</v>
      </c>
      <c r="H196" s="122">
        <v>0</v>
      </c>
      <c r="I196" s="122">
        <v>0</v>
      </c>
      <c r="J196" s="122">
        <v>18.29</v>
      </c>
      <c r="L196" s="374"/>
    </row>
    <row r="197" spans="1:12" x14ac:dyDescent="0.25">
      <c r="B197" s="282" t="s">
        <v>2537</v>
      </c>
      <c r="C197" s="120" t="s">
        <v>3291</v>
      </c>
      <c r="D197" s="120" t="s">
        <v>3662</v>
      </c>
      <c r="E197" s="122">
        <v>129.5925</v>
      </c>
      <c r="F197" s="122">
        <v>43.197499999999998</v>
      </c>
      <c r="G197" s="122">
        <v>0</v>
      </c>
      <c r="H197" s="122">
        <v>0</v>
      </c>
      <c r="I197" s="122">
        <v>0</v>
      </c>
      <c r="J197" s="122">
        <v>172.79</v>
      </c>
      <c r="L197" s="374"/>
    </row>
    <row r="198" spans="1:12" x14ac:dyDescent="0.25">
      <c r="D198" s="120" t="s">
        <v>1164</v>
      </c>
      <c r="E198" s="122"/>
      <c r="L198" s="374"/>
    </row>
    <row r="199" spans="1:12" x14ac:dyDescent="0.25">
      <c r="B199" s="282" t="s">
        <v>2535</v>
      </c>
      <c r="C199" s="120" t="s">
        <v>2096</v>
      </c>
      <c r="D199" s="120" t="s">
        <v>3663</v>
      </c>
      <c r="E199" s="122">
        <v>95.377499999999998</v>
      </c>
      <c r="F199" s="122">
        <v>31.7925</v>
      </c>
      <c r="G199" s="122">
        <v>0</v>
      </c>
      <c r="H199" s="122">
        <v>0</v>
      </c>
      <c r="I199" s="122">
        <v>0</v>
      </c>
      <c r="J199" s="122">
        <v>127.17</v>
      </c>
      <c r="L199" s="374"/>
    </row>
    <row r="200" spans="1:12" x14ac:dyDescent="0.25">
      <c r="D200" s="120" t="s">
        <v>1164</v>
      </c>
      <c r="E200" s="122"/>
      <c r="L200" s="374"/>
    </row>
    <row r="201" spans="1:12" s="26" customFormat="1" x14ac:dyDescent="0.25">
      <c r="A201" s="424"/>
      <c r="B201" s="425" t="s">
        <v>3603</v>
      </c>
      <c r="C201" s="102" t="s">
        <v>3604</v>
      </c>
      <c r="D201" s="120" t="s">
        <v>3664</v>
      </c>
      <c r="E201" s="423">
        <v>259.33</v>
      </c>
      <c r="F201" s="423">
        <v>33.39</v>
      </c>
      <c r="G201" s="423">
        <v>23.53</v>
      </c>
      <c r="H201" s="423">
        <v>4.7699999999999996</v>
      </c>
      <c r="I201" s="423">
        <v>0</v>
      </c>
      <c r="J201" s="423">
        <v>321.02</v>
      </c>
      <c r="K201" s="26" t="s">
        <v>3605</v>
      </c>
      <c r="L201" s="426"/>
    </row>
    <row r="202" spans="1:12" s="26" customFormat="1" x14ac:dyDescent="0.25">
      <c r="A202" s="424"/>
      <c r="B202" s="425"/>
      <c r="C202" s="102" t="s">
        <v>3606</v>
      </c>
      <c r="D202" s="120" t="s">
        <v>3665</v>
      </c>
      <c r="E202" s="423"/>
      <c r="F202" s="423"/>
      <c r="G202" s="423"/>
      <c r="H202" s="423"/>
      <c r="I202" s="423"/>
      <c r="J202" s="423"/>
      <c r="L202" s="426"/>
    </row>
    <row r="203" spans="1:12" x14ac:dyDescent="0.25">
      <c r="D203" s="120" t="s">
        <v>1164</v>
      </c>
      <c r="E203" s="122"/>
      <c r="L203" s="374"/>
    </row>
    <row r="204" spans="1:12" x14ac:dyDescent="0.25">
      <c r="B204" s="282" t="s">
        <v>2506</v>
      </c>
      <c r="C204" s="120" t="s">
        <v>3102</v>
      </c>
      <c r="D204" s="120" t="s">
        <v>3666</v>
      </c>
      <c r="E204" s="122">
        <v>16.98</v>
      </c>
      <c r="F204" s="122">
        <v>5.66</v>
      </c>
      <c r="G204" s="122">
        <v>0</v>
      </c>
      <c r="H204" s="122">
        <v>0</v>
      </c>
      <c r="I204" s="122">
        <v>0</v>
      </c>
      <c r="J204" s="122">
        <v>22.64</v>
      </c>
      <c r="L204" s="374"/>
    </row>
    <row r="205" spans="1:12" x14ac:dyDescent="0.25">
      <c r="B205" s="282" t="s">
        <v>2507</v>
      </c>
      <c r="C205" s="120" t="s">
        <v>3103</v>
      </c>
      <c r="D205" s="120" t="s">
        <v>3667</v>
      </c>
      <c r="E205" s="122">
        <v>20.797499999999999</v>
      </c>
      <c r="F205" s="122">
        <v>6.9325000000000001</v>
      </c>
      <c r="G205" s="122">
        <v>0</v>
      </c>
      <c r="H205" s="122">
        <v>0</v>
      </c>
      <c r="I205" s="122">
        <v>0</v>
      </c>
      <c r="J205" s="122">
        <v>27.73</v>
      </c>
      <c r="L205" s="374"/>
    </row>
    <row r="206" spans="1:12" x14ac:dyDescent="0.25">
      <c r="B206" s="282" t="s">
        <v>2508</v>
      </c>
      <c r="C206" s="120" t="s">
        <v>3104</v>
      </c>
      <c r="D206" s="120" t="s">
        <v>3668</v>
      </c>
      <c r="E206" s="122">
        <v>31.14</v>
      </c>
      <c r="F206" s="122">
        <v>10.38</v>
      </c>
      <c r="G206" s="122">
        <v>0</v>
      </c>
      <c r="H206" s="122">
        <v>0</v>
      </c>
      <c r="I206" s="122">
        <v>0</v>
      </c>
      <c r="J206" s="122">
        <v>41.52</v>
      </c>
      <c r="L206" s="374"/>
    </row>
    <row r="207" spans="1:12" x14ac:dyDescent="0.25">
      <c r="B207" s="282" t="s">
        <v>2519</v>
      </c>
      <c r="C207" s="120" t="s">
        <v>3292</v>
      </c>
      <c r="D207" s="120" t="s">
        <v>3669</v>
      </c>
      <c r="E207" s="122">
        <v>52.394999999999996</v>
      </c>
      <c r="F207" s="122">
        <v>17.465</v>
      </c>
      <c r="G207" s="122">
        <v>0</v>
      </c>
      <c r="H207" s="122">
        <v>0</v>
      </c>
      <c r="I207" s="122">
        <v>0</v>
      </c>
      <c r="J207" s="122">
        <v>69.86</v>
      </c>
      <c r="L207" s="374"/>
    </row>
    <row r="208" spans="1:12" x14ac:dyDescent="0.25">
      <c r="D208" s="120" t="s">
        <v>1164</v>
      </c>
      <c r="E208" s="122"/>
      <c r="L208" s="374"/>
    </row>
    <row r="209" spans="1:12" x14ac:dyDescent="0.25">
      <c r="A209" s="121"/>
      <c r="B209" s="282" t="s">
        <v>451</v>
      </c>
      <c r="C209" s="120" t="s">
        <v>3106</v>
      </c>
      <c r="D209" s="120" t="s">
        <v>3670</v>
      </c>
      <c r="E209" s="122">
        <v>16.98</v>
      </c>
      <c r="F209" s="122">
        <v>5.66</v>
      </c>
      <c r="G209" s="122">
        <v>0</v>
      </c>
      <c r="H209" s="122">
        <v>0</v>
      </c>
      <c r="I209" s="122">
        <v>17.059999999999999</v>
      </c>
      <c r="J209" s="122">
        <v>39.700000000000003</v>
      </c>
      <c r="L209" s="374"/>
    </row>
    <row r="210" spans="1:12" x14ac:dyDescent="0.25">
      <c r="B210" s="282" t="s">
        <v>449</v>
      </c>
      <c r="C210" s="120" t="s">
        <v>3107</v>
      </c>
      <c r="D210" s="120" t="s">
        <v>3671</v>
      </c>
      <c r="E210" s="122">
        <v>20.797499999999999</v>
      </c>
      <c r="F210" s="122">
        <v>6.9325000000000001</v>
      </c>
      <c r="G210" s="122">
        <v>0</v>
      </c>
      <c r="H210" s="122">
        <v>0</v>
      </c>
      <c r="I210" s="122">
        <v>17.059999999999999</v>
      </c>
      <c r="J210" s="122">
        <v>44.79</v>
      </c>
      <c r="L210" s="374"/>
    </row>
    <row r="211" spans="1:12" x14ac:dyDescent="0.25">
      <c r="B211" s="282" t="s">
        <v>463</v>
      </c>
      <c r="C211" s="120" t="s">
        <v>3293</v>
      </c>
      <c r="D211" s="120" t="s">
        <v>3672</v>
      </c>
      <c r="E211" s="122">
        <v>52.394999999999996</v>
      </c>
      <c r="F211" s="122">
        <v>17.465</v>
      </c>
      <c r="G211" s="122">
        <v>0</v>
      </c>
      <c r="H211" s="122">
        <v>0</v>
      </c>
      <c r="I211" s="122">
        <v>17.059999999999999</v>
      </c>
      <c r="J211" s="122">
        <v>86.92</v>
      </c>
      <c r="L211" s="374"/>
    </row>
    <row r="212" spans="1:12" x14ac:dyDescent="0.25">
      <c r="A212" s="120"/>
      <c r="B212" s="282" t="s">
        <v>482</v>
      </c>
      <c r="C212" s="120" t="s">
        <v>3109</v>
      </c>
      <c r="D212" s="120" t="s">
        <v>3673</v>
      </c>
      <c r="E212" s="122">
        <v>31.14</v>
      </c>
      <c r="F212" s="122">
        <v>10.38</v>
      </c>
      <c r="G212" s="122">
        <v>0</v>
      </c>
      <c r="H212" s="122">
        <v>0</v>
      </c>
      <c r="I212" s="122">
        <v>17.059999999999999</v>
      </c>
      <c r="J212" s="122">
        <v>58.58</v>
      </c>
      <c r="L212" s="374"/>
    </row>
    <row r="213" spans="1:12" x14ac:dyDescent="0.25">
      <c r="A213" s="120"/>
      <c r="B213" s="282" t="s">
        <v>474</v>
      </c>
      <c r="C213" s="120" t="s">
        <v>3110</v>
      </c>
      <c r="D213" s="120" t="s">
        <v>3674</v>
      </c>
      <c r="E213" s="122">
        <v>16.98</v>
      </c>
      <c r="F213" s="122">
        <v>5.66</v>
      </c>
      <c r="G213" s="122">
        <v>0</v>
      </c>
      <c r="H213" s="122">
        <v>0</v>
      </c>
      <c r="I213" s="122">
        <v>17.059999999999999</v>
      </c>
      <c r="J213" s="122">
        <v>39.700000000000003</v>
      </c>
      <c r="L213" s="374"/>
    </row>
    <row r="214" spans="1:12" x14ac:dyDescent="0.25">
      <c r="A214" s="120"/>
      <c r="B214" s="282" t="s">
        <v>455</v>
      </c>
      <c r="C214" s="120" t="s">
        <v>3111</v>
      </c>
      <c r="D214" s="120" t="s">
        <v>3675</v>
      </c>
      <c r="E214" s="122">
        <v>20.797499999999999</v>
      </c>
      <c r="F214" s="122">
        <v>6.9325000000000001</v>
      </c>
      <c r="G214" s="122">
        <v>0</v>
      </c>
      <c r="H214" s="122">
        <v>0</v>
      </c>
      <c r="I214" s="122">
        <v>17.059999999999999</v>
      </c>
      <c r="J214" s="122">
        <v>44.79</v>
      </c>
      <c r="L214" s="374"/>
    </row>
    <row r="215" spans="1:12" x14ac:dyDescent="0.25">
      <c r="A215" s="120"/>
      <c r="B215" s="282" t="s">
        <v>465</v>
      </c>
      <c r="C215" s="120" t="s">
        <v>3112</v>
      </c>
      <c r="D215" s="120" t="s">
        <v>3676</v>
      </c>
      <c r="E215" s="122">
        <v>31.14</v>
      </c>
      <c r="F215" s="122">
        <v>10.38</v>
      </c>
      <c r="G215" s="122">
        <v>0</v>
      </c>
      <c r="H215" s="122">
        <v>0</v>
      </c>
      <c r="I215" s="122">
        <v>17.059999999999999</v>
      </c>
      <c r="J215" s="122">
        <v>58.58</v>
      </c>
      <c r="L215" s="374"/>
    </row>
    <row r="216" spans="1:12" x14ac:dyDescent="0.25">
      <c r="A216" s="120"/>
      <c r="B216" s="282" t="s">
        <v>488</v>
      </c>
      <c r="C216" s="120" t="s">
        <v>3113</v>
      </c>
      <c r="D216" s="120" t="s">
        <v>3677</v>
      </c>
      <c r="E216" s="122">
        <v>16.98</v>
      </c>
      <c r="F216" s="122">
        <v>5.66</v>
      </c>
      <c r="G216" s="122">
        <v>0</v>
      </c>
      <c r="H216" s="122">
        <v>0</v>
      </c>
      <c r="I216" s="122">
        <v>17.059999999999999</v>
      </c>
      <c r="J216" s="122">
        <v>39.700000000000003</v>
      </c>
      <c r="L216" s="374"/>
    </row>
    <row r="217" spans="1:12" x14ac:dyDescent="0.25">
      <c r="A217" s="120"/>
      <c r="B217" s="282" t="s">
        <v>508</v>
      </c>
      <c r="C217" s="120" t="s">
        <v>3114</v>
      </c>
      <c r="D217" s="120" t="s">
        <v>3678</v>
      </c>
      <c r="E217" s="122">
        <v>20.797499999999999</v>
      </c>
      <c r="F217" s="122">
        <v>6.9325000000000001</v>
      </c>
      <c r="G217" s="122">
        <v>0</v>
      </c>
      <c r="H217" s="122">
        <v>0</v>
      </c>
      <c r="I217" s="122">
        <v>17.059999999999999</v>
      </c>
      <c r="J217" s="122">
        <v>44.79</v>
      </c>
      <c r="L217" s="374"/>
    </row>
    <row r="218" spans="1:12" x14ac:dyDescent="0.25">
      <c r="A218" s="120"/>
      <c r="B218" s="282" t="s">
        <v>544</v>
      </c>
      <c r="C218" s="120" t="s">
        <v>3115</v>
      </c>
      <c r="D218" s="120" t="s">
        <v>3679</v>
      </c>
      <c r="E218" s="122">
        <v>31.14</v>
      </c>
      <c r="F218" s="122">
        <v>10.38</v>
      </c>
      <c r="G218" s="122">
        <v>0</v>
      </c>
      <c r="H218" s="122">
        <v>0</v>
      </c>
      <c r="I218" s="122">
        <v>17.059999999999999</v>
      </c>
      <c r="J218" s="122">
        <v>58.58</v>
      </c>
      <c r="L218" s="374"/>
    </row>
    <row r="219" spans="1:12" x14ac:dyDescent="0.25">
      <c r="A219" s="120"/>
      <c r="B219" s="282" t="s">
        <v>514</v>
      </c>
      <c r="C219" s="120" t="s">
        <v>3116</v>
      </c>
      <c r="D219" s="120" t="s">
        <v>3680</v>
      </c>
      <c r="E219" s="122">
        <v>16.98</v>
      </c>
      <c r="F219" s="122">
        <v>5.66</v>
      </c>
      <c r="G219" s="122">
        <v>0</v>
      </c>
      <c r="H219" s="122">
        <v>0</v>
      </c>
      <c r="I219" s="122">
        <v>17.059999999999999</v>
      </c>
      <c r="J219" s="122">
        <v>39.700000000000003</v>
      </c>
      <c r="L219" s="374"/>
    </row>
    <row r="220" spans="1:12" x14ac:dyDescent="0.25">
      <c r="A220" s="120"/>
      <c r="B220" s="282" t="s">
        <v>552</v>
      </c>
      <c r="C220" s="120" t="s">
        <v>3117</v>
      </c>
      <c r="D220" s="120" t="s">
        <v>3681</v>
      </c>
      <c r="E220" s="122">
        <v>20.797499999999999</v>
      </c>
      <c r="F220" s="122">
        <v>6.9325000000000001</v>
      </c>
      <c r="G220" s="122">
        <v>0</v>
      </c>
      <c r="H220" s="122">
        <v>0</v>
      </c>
      <c r="I220" s="122">
        <v>17.059999999999999</v>
      </c>
      <c r="J220" s="122">
        <v>44.79</v>
      </c>
      <c r="L220" s="374"/>
    </row>
    <row r="221" spans="1:12" x14ac:dyDescent="0.25">
      <c r="A221" s="120"/>
      <c r="B221" s="282" t="s">
        <v>558</v>
      </c>
      <c r="C221" s="120" t="s">
        <v>3118</v>
      </c>
      <c r="D221" s="120" t="s">
        <v>3682</v>
      </c>
      <c r="E221" s="122">
        <v>31.14</v>
      </c>
      <c r="F221" s="122">
        <v>10.38</v>
      </c>
      <c r="G221" s="122">
        <v>0</v>
      </c>
      <c r="H221" s="122">
        <v>0</v>
      </c>
      <c r="I221" s="122">
        <v>17.059999999999999</v>
      </c>
      <c r="J221" s="122">
        <v>58.58</v>
      </c>
      <c r="L221" s="374"/>
    </row>
    <row r="222" spans="1:12" x14ac:dyDescent="0.25">
      <c r="A222" s="120"/>
      <c r="D222" s="120" t="s">
        <v>1164</v>
      </c>
      <c r="E222" s="122"/>
      <c r="L222" s="374"/>
    </row>
    <row r="223" spans="1:12" x14ac:dyDescent="0.25">
      <c r="A223" s="120"/>
      <c r="B223" s="282" t="s">
        <v>3607</v>
      </c>
      <c r="C223" s="120" t="s">
        <v>3608</v>
      </c>
      <c r="D223" s="120" t="s">
        <v>3683</v>
      </c>
      <c r="E223" s="122">
        <v>0</v>
      </c>
      <c r="F223" s="122">
        <v>0</v>
      </c>
      <c r="G223" s="122">
        <v>8.81</v>
      </c>
      <c r="H223" s="122">
        <v>0</v>
      </c>
      <c r="I223" s="122">
        <v>0</v>
      </c>
      <c r="J223" s="122">
        <v>8.81</v>
      </c>
      <c r="L223" s="374"/>
    </row>
    <row r="224" spans="1:12" x14ac:dyDescent="0.25">
      <c r="A224" s="120"/>
      <c r="D224" s="120" t="s">
        <v>1164</v>
      </c>
      <c r="E224" s="122"/>
      <c r="L224" s="374"/>
    </row>
    <row r="225" spans="1:12" x14ac:dyDescent="0.25">
      <c r="A225" s="120"/>
      <c r="B225" s="282" t="s">
        <v>3294</v>
      </c>
      <c r="C225" s="120" t="s">
        <v>3295</v>
      </c>
      <c r="D225" s="120" t="s">
        <v>3684</v>
      </c>
      <c r="E225" s="122">
        <v>1.6500000000000001</v>
      </c>
      <c r="F225" s="122">
        <v>0.55000000000000004</v>
      </c>
      <c r="G225" s="122">
        <v>0</v>
      </c>
      <c r="H225" s="122">
        <v>0</v>
      </c>
      <c r="I225" s="122">
        <v>0</v>
      </c>
      <c r="J225" s="122">
        <v>2.2000000000000002</v>
      </c>
      <c r="L225" s="374"/>
    </row>
    <row r="226" spans="1:12" x14ac:dyDescent="0.25">
      <c r="A226" s="120"/>
      <c r="B226" s="282" t="s">
        <v>3296</v>
      </c>
      <c r="C226" s="120" t="s">
        <v>3297</v>
      </c>
      <c r="D226" s="120" t="s">
        <v>3685</v>
      </c>
      <c r="E226" s="122">
        <v>2.2650000000000001</v>
      </c>
      <c r="F226" s="122">
        <v>0.755</v>
      </c>
      <c r="G226" s="122">
        <v>0</v>
      </c>
      <c r="H226" s="122">
        <v>0</v>
      </c>
      <c r="I226" s="122">
        <v>0</v>
      </c>
      <c r="J226" s="122">
        <v>3.02</v>
      </c>
      <c r="L226" s="374"/>
    </row>
    <row r="227" spans="1:12" x14ac:dyDescent="0.25">
      <c r="A227" s="120"/>
      <c r="B227" s="282" t="s">
        <v>3298</v>
      </c>
      <c r="C227" s="120" t="s">
        <v>3299</v>
      </c>
      <c r="D227" s="120" t="s">
        <v>3686</v>
      </c>
      <c r="E227" s="122">
        <v>2.2725</v>
      </c>
      <c r="F227" s="122">
        <v>0.75749999999999995</v>
      </c>
      <c r="G227" s="122">
        <v>0</v>
      </c>
      <c r="H227" s="122">
        <v>0</v>
      </c>
      <c r="I227" s="122">
        <v>0</v>
      </c>
      <c r="J227" s="122">
        <v>3.03</v>
      </c>
      <c r="L227" s="374"/>
    </row>
    <row r="228" spans="1:12" x14ac:dyDescent="0.25">
      <c r="A228" s="120"/>
      <c r="B228" s="282" t="s">
        <v>3300</v>
      </c>
      <c r="C228" s="120" t="s">
        <v>3301</v>
      </c>
      <c r="D228" s="120" t="s">
        <v>3687</v>
      </c>
      <c r="E228" s="122">
        <v>2.67</v>
      </c>
      <c r="F228" s="122">
        <v>0.89</v>
      </c>
      <c r="G228" s="122">
        <v>0</v>
      </c>
      <c r="H228" s="122">
        <v>0</v>
      </c>
      <c r="I228" s="122">
        <v>0</v>
      </c>
      <c r="J228" s="122">
        <v>3.56</v>
      </c>
      <c r="L228" s="374"/>
    </row>
    <row r="229" spans="1:12" x14ac:dyDescent="0.25">
      <c r="A229" s="120"/>
      <c r="B229" s="282" t="s">
        <v>3302</v>
      </c>
      <c r="C229" s="120" t="s">
        <v>3303</v>
      </c>
      <c r="D229" s="120" t="s">
        <v>3688</v>
      </c>
      <c r="E229" s="122">
        <v>3.1125000000000003</v>
      </c>
      <c r="F229" s="122">
        <v>1.0375000000000001</v>
      </c>
      <c r="G229" s="122">
        <v>0</v>
      </c>
      <c r="H229" s="122">
        <v>0</v>
      </c>
      <c r="I229" s="122">
        <v>0</v>
      </c>
      <c r="J229" s="122">
        <v>4.1500000000000004</v>
      </c>
      <c r="L229" s="374"/>
    </row>
    <row r="230" spans="1:12" x14ac:dyDescent="0.25">
      <c r="B230" s="282" t="s">
        <v>3304</v>
      </c>
      <c r="C230" s="120" t="s">
        <v>3305</v>
      </c>
      <c r="D230" s="120" t="s">
        <v>3689</v>
      </c>
      <c r="E230" s="122">
        <v>2.2050000000000001</v>
      </c>
      <c r="F230" s="122">
        <v>0.73499999999999999</v>
      </c>
      <c r="G230" s="122">
        <v>0</v>
      </c>
      <c r="H230" s="122">
        <v>0</v>
      </c>
      <c r="I230" s="122">
        <v>0</v>
      </c>
      <c r="J230" s="122">
        <v>2.94</v>
      </c>
      <c r="L230" s="374"/>
    </row>
    <row r="231" spans="1:12" x14ac:dyDescent="0.25">
      <c r="B231" s="282" t="s">
        <v>3306</v>
      </c>
      <c r="C231" s="120" t="s">
        <v>3307</v>
      </c>
      <c r="D231" s="120" t="s">
        <v>3690</v>
      </c>
      <c r="E231" s="122">
        <v>3.4050000000000002</v>
      </c>
      <c r="F231" s="122">
        <v>1.135</v>
      </c>
      <c r="G231" s="122">
        <v>0</v>
      </c>
      <c r="H231" s="122">
        <v>0</v>
      </c>
      <c r="I231" s="122">
        <v>0</v>
      </c>
      <c r="J231" s="122">
        <v>4.54</v>
      </c>
      <c r="L231" s="374"/>
    </row>
    <row r="232" spans="1:12" x14ac:dyDescent="0.25">
      <c r="B232" s="282" t="s">
        <v>3308</v>
      </c>
      <c r="C232" s="120" t="s">
        <v>3309</v>
      </c>
      <c r="D232" s="120" t="s">
        <v>3691</v>
      </c>
      <c r="E232" s="122">
        <v>2.0175000000000001</v>
      </c>
      <c r="F232" s="122">
        <v>0.67249999999999999</v>
      </c>
      <c r="G232" s="122">
        <v>0</v>
      </c>
      <c r="H232" s="122">
        <v>0</v>
      </c>
      <c r="I232" s="122">
        <v>0</v>
      </c>
      <c r="J232" s="122">
        <v>2.69</v>
      </c>
      <c r="L232" s="374"/>
    </row>
    <row r="233" spans="1:12" x14ac:dyDescent="0.25">
      <c r="B233" s="282" t="s">
        <v>3310</v>
      </c>
      <c r="C233" s="120" t="s">
        <v>3311</v>
      </c>
      <c r="D233" s="120" t="s">
        <v>3692</v>
      </c>
      <c r="E233" s="122">
        <v>2.6475</v>
      </c>
      <c r="F233" s="122">
        <v>0.88249999999999995</v>
      </c>
      <c r="G233" s="122">
        <v>0</v>
      </c>
      <c r="H233" s="122">
        <v>0</v>
      </c>
      <c r="I233" s="122">
        <v>0</v>
      </c>
      <c r="J233" s="122">
        <v>3.53</v>
      </c>
      <c r="L233" s="374"/>
    </row>
    <row r="234" spans="1:12" x14ac:dyDescent="0.25">
      <c r="B234" s="282" t="s">
        <v>3312</v>
      </c>
      <c r="C234" s="120" t="s">
        <v>3313</v>
      </c>
      <c r="D234" s="120" t="s">
        <v>3693</v>
      </c>
      <c r="E234" s="122">
        <v>2.6550000000000002</v>
      </c>
      <c r="F234" s="122">
        <v>0.88500000000000001</v>
      </c>
      <c r="G234" s="122">
        <v>0</v>
      </c>
      <c r="H234" s="122">
        <v>0</v>
      </c>
      <c r="I234" s="122">
        <v>0</v>
      </c>
      <c r="J234" s="122">
        <v>3.54</v>
      </c>
      <c r="L234" s="374"/>
    </row>
    <row r="235" spans="1:12" x14ac:dyDescent="0.25">
      <c r="B235" s="282" t="s">
        <v>3314</v>
      </c>
      <c r="C235" s="120" t="s">
        <v>3315</v>
      </c>
      <c r="D235" s="120" t="s">
        <v>3694</v>
      </c>
      <c r="E235" s="122">
        <v>3.1574999999999998</v>
      </c>
      <c r="F235" s="122">
        <v>1.0525</v>
      </c>
      <c r="G235" s="122">
        <v>0</v>
      </c>
      <c r="H235" s="122">
        <v>0</v>
      </c>
      <c r="I235" s="122">
        <v>0</v>
      </c>
      <c r="J235" s="122">
        <v>4.21</v>
      </c>
      <c r="L235" s="374"/>
    </row>
    <row r="236" spans="1:12" x14ac:dyDescent="0.25">
      <c r="B236" s="282" t="s">
        <v>3316</v>
      </c>
      <c r="C236" s="120" t="s">
        <v>3317</v>
      </c>
      <c r="D236" s="120" t="s">
        <v>3695</v>
      </c>
      <c r="E236" s="122">
        <v>3.6074999999999999</v>
      </c>
      <c r="F236" s="122">
        <v>1.2024999999999999</v>
      </c>
      <c r="G236" s="122">
        <v>0</v>
      </c>
      <c r="H236" s="122">
        <v>0</v>
      </c>
      <c r="I236" s="122">
        <v>0</v>
      </c>
      <c r="J236" s="122">
        <v>4.8099999999999996</v>
      </c>
      <c r="L236" s="374"/>
    </row>
    <row r="237" spans="1:12" x14ac:dyDescent="0.25">
      <c r="B237" s="282" t="s">
        <v>3318</v>
      </c>
      <c r="C237" s="120" t="s">
        <v>3319</v>
      </c>
      <c r="D237" s="120" t="s">
        <v>3696</v>
      </c>
      <c r="E237" s="122">
        <v>3.1500000000000004</v>
      </c>
      <c r="F237" s="122">
        <v>1.05</v>
      </c>
      <c r="G237" s="122">
        <v>0</v>
      </c>
      <c r="H237" s="122">
        <v>0</v>
      </c>
      <c r="I237" s="122">
        <v>0</v>
      </c>
      <c r="J237" s="122">
        <v>4.2</v>
      </c>
      <c r="L237" s="374"/>
    </row>
    <row r="238" spans="1:12" x14ac:dyDescent="0.25">
      <c r="B238" s="282" t="s">
        <v>3320</v>
      </c>
      <c r="C238" s="120" t="s">
        <v>3321</v>
      </c>
      <c r="D238" s="120" t="s">
        <v>3697</v>
      </c>
      <c r="E238" s="122">
        <v>3.9000000000000004</v>
      </c>
      <c r="F238" s="122">
        <v>1.3</v>
      </c>
      <c r="G238" s="122">
        <v>0</v>
      </c>
      <c r="H238" s="122">
        <v>0</v>
      </c>
      <c r="I238" s="122">
        <v>0</v>
      </c>
      <c r="J238" s="122">
        <v>5.2</v>
      </c>
      <c r="L238" s="374"/>
    </row>
    <row r="239" spans="1:12" x14ac:dyDescent="0.25">
      <c r="D239" s="120" t="s">
        <v>1164</v>
      </c>
    </row>
    <row r="240" spans="1:12" x14ac:dyDescent="0.25">
      <c r="D240" s="120" t="s">
        <v>1164</v>
      </c>
    </row>
    <row r="241" spans="1:10" x14ac:dyDescent="0.25">
      <c r="A241" s="121" t="s">
        <v>3609</v>
      </c>
      <c r="D241" s="120" t="s">
        <v>1164</v>
      </c>
    </row>
    <row r="242" spans="1:10" x14ac:dyDescent="0.25">
      <c r="B242" s="282" t="s">
        <v>3593</v>
      </c>
      <c r="C242" s="120" t="s">
        <v>3547</v>
      </c>
      <c r="D242" s="120" t="s">
        <v>3639</v>
      </c>
    </row>
    <row r="243" spans="1:10" x14ac:dyDescent="0.25">
      <c r="B243" s="282" t="s">
        <v>3594</v>
      </c>
      <c r="C243" s="120" t="s">
        <v>3549</v>
      </c>
      <c r="D243" s="120" t="s">
        <v>3640</v>
      </c>
    </row>
    <row r="244" spans="1:10" x14ac:dyDescent="0.25">
      <c r="B244" s="282" t="s">
        <v>3595</v>
      </c>
      <c r="C244" s="120" t="s">
        <v>3551</v>
      </c>
      <c r="D244" s="120" t="s">
        <v>3641</v>
      </c>
    </row>
    <row r="245" spans="1:10" x14ac:dyDescent="0.25">
      <c r="B245" s="282" t="s">
        <v>3596</v>
      </c>
      <c r="C245" s="120" t="s">
        <v>3553</v>
      </c>
      <c r="D245" s="120" t="s">
        <v>3642</v>
      </c>
    </row>
    <row r="246" spans="1:10" x14ac:dyDescent="0.25">
      <c r="B246" s="282" t="s">
        <v>3597</v>
      </c>
      <c r="C246" s="120" t="s">
        <v>3555</v>
      </c>
      <c r="D246" s="120" t="s">
        <v>3643</v>
      </c>
    </row>
    <row r="247" spans="1:10" x14ac:dyDescent="0.25">
      <c r="B247" s="282" t="s">
        <v>3598</v>
      </c>
      <c r="C247" s="120" t="s">
        <v>3547</v>
      </c>
      <c r="D247" s="120" t="s">
        <v>3644</v>
      </c>
    </row>
    <row r="248" spans="1:10" x14ac:dyDescent="0.25">
      <c r="B248" s="282" t="s">
        <v>3599</v>
      </c>
      <c r="C248" s="120" t="s">
        <v>3549</v>
      </c>
      <c r="D248" s="120" t="s">
        <v>3645</v>
      </c>
    </row>
    <row r="249" spans="1:10" x14ac:dyDescent="0.25">
      <c r="B249" s="282" t="s">
        <v>3600</v>
      </c>
      <c r="C249" s="120" t="s">
        <v>3551</v>
      </c>
      <c r="D249" s="120" t="s">
        <v>3646</v>
      </c>
    </row>
    <row r="250" spans="1:10" x14ac:dyDescent="0.25">
      <c r="B250" s="282" t="s">
        <v>3601</v>
      </c>
      <c r="C250" s="120" t="s">
        <v>3553</v>
      </c>
      <c r="D250" s="120" t="s">
        <v>3647</v>
      </c>
    </row>
    <row r="251" spans="1:10" x14ac:dyDescent="0.25">
      <c r="B251" s="282" t="s">
        <v>3602</v>
      </c>
      <c r="C251" s="120" t="s">
        <v>3555</v>
      </c>
      <c r="D251" s="120" t="s">
        <v>3648</v>
      </c>
    </row>
    <row r="252" spans="1:10" x14ac:dyDescent="0.25">
      <c r="D252" s="120" t="s">
        <v>1164</v>
      </c>
    </row>
    <row r="253" spans="1:10" s="104" customFormat="1" x14ac:dyDescent="0.25">
      <c r="A253" s="121" t="s">
        <v>3610</v>
      </c>
      <c r="B253" s="427"/>
      <c r="D253" s="120" t="s">
        <v>1164</v>
      </c>
      <c r="F253" s="428"/>
      <c r="G253" s="428"/>
      <c r="H253" s="428"/>
      <c r="I253" s="428"/>
      <c r="J253" s="428"/>
    </row>
    <row r="254" spans="1:10" x14ac:dyDescent="0.25">
      <c r="B254" s="282" t="s">
        <v>2495</v>
      </c>
      <c r="C254" s="120" t="s">
        <v>1952</v>
      </c>
      <c r="D254" s="120" t="s">
        <v>3698</v>
      </c>
    </row>
    <row r="255" spans="1:10" x14ac:dyDescent="0.25">
      <c r="B255" s="282" t="s">
        <v>2496</v>
      </c>
      <c r="C255" s="120" t="s">
        <v>2064</v>
      </c>
      <c r="D255" s="120" t="s">
        <v>3699</v>
      </c>
    </row>
    <row r="256" spans="1:10" x14ac:dyDescent="0.25">
      <c r="B256" s="282" t="s">
        <v>2497</v>
      </c>
      <c r="C256" s="120" t="s">
        <v>1955</v>
      </c>
      <c r="D256" s="120" t="s">
        <v>3700</v>
      </c>
    </row>
    <row r="257" spans="2:10" x14ac:dyDescent="0.25">
      <c r="B257" s="282" t="s">
        <v>446</v>
      </c>
      <c r="C257" s="120" t="s">
        <v>1952</v>
      </c>
      <c r="D257" s="120" t="s">
        <v>1687</v>
      </c>
    </row>
    <row r="258" spans="2:10" x14ac:dyDescent="0.25">
      <c r="B258" s="282" t="s">
        <v>453</v>
      </c>
      <c r="C258" s="120" t="s">
        <v>2064</v>
      </c>
      <c r="D258" s="120" t="s">
        <v>1772</v>
      </c>
    </row>
    <row r="259" spans="2:10" x14ac:dyDescent="0.25">
      <c r="B259" s="282" t="s">
        <v>443</v>
      </c>
      <c r="C259" s="120" t="s">
        <v>1955</v>
      </c>
      <c r="D259" s="120" t="s">
        <v>1688</v>
      </c>
    </row>
    <row r="262" spans="2:10" x14ac:dyDescent="0.25">
      <c r="B262" s="282" t="s">
        <v>1778</v>
      </c>
      <c r="C262" s="448" t="s">
        <v>3611</v>
      </c>
      <c r="D262" s="448"/>
      <c r="E262" s="448"/>
      <c r="F262" s="448"/>
      <c r="G262" s="448"/>
      <c r="H262" s="448"/>
      <c r="I262" s="448"/>
      <c r="J262" s="448"/>
    </row>
    <row r="264" spans="2:10" x14ac:dyDescent="0.25">
      <c r="B264" s="282" t="s">
        <v>3605</v>
      </c>
      <c r="C264" s="120" t="s">
        <v>3612</v>
      </c>
    </row>
    <row r="277" spans="1:10" x14ac:dyDescent="0.25">
      <c r="A277" s="120"/>
      <c r="B277" s="132"/>
      <c r="F277" s="120"/>
      <c r="G277" s="120"/>
      <c r="H277" s="120"/>
      <c r="I277" s="120"/>
      <c r="J277" s="120"/>
    </row>
  </sheetData>
  <sheetProtection algorithmName="SHA-512" hashValue="EA/WvPUa+qEFH8njqY8YLb6DOhvAK+ja69R3Xf9LT7as6aEuRwVMh7pb1MDvs9bsxlmWlmYR0v9Lj6a6+UVy8g==" saltValue="Qup1BPrm3G/g+KPqxCkT3Q==" spinCount="100000" sheet="1" objects="1" scenarios="1"/>
  <mergeCells count="1">
    <mergeCell ref="C262:J2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9AA0-A04E-4B47-9241-E807CF24A893}">
  <sheetPr codeName="Blad31"/>
  <dimension ref="A1:H496"/>
  <sheetViews>
    <sheetView topLeftCell="A13" workbookViewId="0">
      <selection activeCell="D35" sqref="D35"/>
    </sheetView>
  </sheetViews>
  <sheetFormatPr defaultRowHeight="18.75" x14ac:dyDescent="0.3"/>
  <cols>
    <col min="1" max="1" width="27.28515625" style="167" customWidth="1"/>
    <col min="2" max="2" width="17.28515625" bestFit="1" customWidth="1"/>
    <col min="3" max="3" width="10" bestFit="1" customWidth="1"/>
    <col min="4" max="4" width="18.140625" bestFit="1" customWidth="1"/>
    <col min="6" max="6" width="10" style="120" hidden="1" customWidth="1"/>
  </cols>
  <sheetData>
    <row r="1" spans="1:8" s="120" customFormat="1" x14ac:dyDescent="0.3">
      <c r="A1" s="432" t="s">
        <v>3616</v>
      </c>
      <c r="B1" s="120" t="s">
        <v>3614</v>
      </c>
      <c r="C1" s="120" t="s">
        <v>1618</v>
      </c>
      <c r="D1" s="120" t="s">
        <v>3615</v>
      </c>
      <c r="E1" s="120" t="s">
        <v>1618</v>
      </c>
      <c r="G1" s="120" t="s">
        <v>2757</v>
      </c>
      <c r="H1" s="419" t="s">
        <v>3520</v>
      </c>
    </row>
    <row r="2" spans="1:8" x14ac:dyDescent="0.3">
      <c r="A2" s="212" t="s">
        <v>1214</v>
      </c>
      <c r="B2" s="282" t="s">
        <v>245</v>
      </c>
      <c r="C2" s="35">
        <f>VLOOKUP(B2,'Tarieven VPT'!$B$6:$I$178,8,FALSE)</f>
        <v>70.866497876749449</v>
      </c>
      <c r="D2" s="282" t="s">
        <v>1244</v>
      </c>
      <c r="E2" s="35">
        <f>IFERROR(VLOOKUP(D2,'Tarieven VPT'!$B$6:$I$178,8,FALSE),0)</f>
        <v>0</v>
      </c>
      <c r="F2" s="35">
        <f>E2-C2</f>
        <v>-70.866497876749449</v>
      </c>
      <c r="G2" s="35">
        <f>IF(F2&gt;0,F2,0)</f>
        <v>0</v>
      </c>
      <c r="H2" s="431">
        <f>G2*7</f>
        <v>0</v>
      </c>
    </row>
    <row r="3" spans="1:8" x14ac:dyDescent="0.3">
      <c r="A3" s="212" t="s">
        <v>1215</v>
      </c>
      <c r="B3" s="282" t="s">
        <v>136</v>
      </c>
      <c r="C3" s="35">
        <f>VLOOKUP(B3,'Tarieven VPT'!B7:I179,8,FALSE)</f>
        <v>93.847296149839138</v>
      </c>
      <c r="D3" s="282" t="s">
        <v>1244</v>
      </c>
      <c r="E3" s="35">
        <f>IFERROR(VLOOKUP(D3,'Tarieven VPT'!$B$6:$I$178,8,FALSE),0)</f>
        <v>0</v>
      </c>
      <c r="F3" s="35">
        <f t="shared" ref="F3:F41" si="0">E3-C3</f>
        <v>-93.847296149839138</v>
      </c>
      <c r="G3" s="35">
        <f t="shared" ref="G3:G41" si="1">IF(F3&gt;0,F3,0)</f>
        <v>0</v>
      </c>
      <c r="H3" s="431">
        <f t="shared" ref="H3:H41" si="2">G3*7</f>
        <v>0</v>
      </c>
    </row>
    <row r="4" spans="1:8" x14ac:dyDescent="0.3">
      <c r="A4" s="212" t="s">
        <v>1216</v>
      </c>
      <c r="B4" s="282" t="s">
        <v>210</v>
      </c>
      <c r="C4" s="35">
        <f>VLOOKUP(B4,'Tarieven VPT'!B8:I180,8,FALSE)</f>
        <v>124.28669379408338</v>
      </c>
      <c r="D4" s="282" t="s">
        <v>291</v>
      </c>
      <c r="E4" s="35">
        <f>IFERROR(VLOOKUP(D4,'Tarieven VPT'!$B$6:$I$178,8,FALSE),0)</f>
        <v>146.31395433561758</v>
      </c>
      <c r="F4" s="35">
        <f t="shared" si="0"/>
        <v>22.027260541534204</v>
      </c>
      <c r="G4" s="35">
        <f t="shared" si="1"/>
        <v>22.027260541534204</v>
      </c>
      <c r="H4" s="431">
        <f t="shared" si="2"/>
        <v>154.19082379073944</v>
      </c>
    </row>
    <row r="5" spans="1:8" x14ac:dyDescent="0.3">
      <c r="A5" s="212" t="s">
        <v>1217</v>
      </c>
      <c r="B5" s="282" t="s">
        <v>54</v>
      </c>
      <c r="C5" s="35">
        <f>VLOOKUP(B5,'Tarieven VPT'!B9:I181,8,FALSE)</f>
        <v>133.83000000000001</v>
      </c>
      <c r="D5" s="282" t="s">
        <v>167</v>
      </c>
      <c r="E5" s="35">
        <f>IFERROR(VLOOKUP(D5,'Tarieven VPT'!$B$6:$I$178,8,FALSE),0)</f>
        <v>156.45000000000002</v>
      </c>
      <c r="F5" s="35">
        <f t="shared" si="0"/>
        <v>22.620000000000005</v>
      </c>
      <c r="G5" s="35">
        <f t="shared" si="1"/>
        <v>22.620000000000005</v>
      </c>
      <c r="H5" s="431">
        <f t="shared" si="2"/>
        <v>158.34000000000003</v>
      </c>
    </row>
    <row r="6" spans="1:8" x14ac:dyDescent="0.3">
      <c r="A6" s="212" t="s">
        <v>1218</v>
      </c>
      <c r="B6" s="282" t="s">
        <v>107</v>
      </c>
      <c r="C6" s="35">
        <f>VLOOKUP(B6,'Tarieven VPT'!B10:I182,8,FALSE)</f>
        <v>184.07999999999998</v>
      </c>
      <c r="D6" s="282" t="s">
        <v>378</v>
      </c>
      <c r="E6" s="35">
        <f>IFERROR(VLOOKUP(D6,'Tarieven VPT'!$B$6:$I$178,8,FALSE),0)</f>
        <v>208.48</v>
      </c>
      <c r="F6" s="35">
        <f t="shared" si="0"/>
        <v>24.400000000000006</v>
      </c>
      <c r="G6" s="35">
        <f t="shared" si="1"/>
        <v>24.400000000000006</v>
      </c>
      <c r="H6" s="431">
        <f t="shared" si="2"/>
        <v>170.80000000000004</v>
      </c>
    </row>
    <row r="7" spans="1:8" x14ac:dyDescent="0.3">
      <c r="A7" s="212" t="s">
        <v>1219</v>
      </c>
      <c r="B7" s="282" t="s">
        <v>263</v>
      </c>
      <c r="C7" s="35">
        <f>VLOOKUP(B7,'Tarieven VPT'!B11:I183,8,FALSE)</f>
        <v>184.44</v>
      </c>
      <c r="D7" s="282" t="s">
        <v>340</v>
      </c>
      <c r="E7" s="35">
        <f>IFERROR(VLOOKUP(D7,'Tarieven VPT'!$B$6:$I$178,8,FALSE),0)</f>
        <v>208.83</v>
      </c>
      <c r="F7" s="35">
        <f t="shared" si="0"/>
        <v>24.390000000000015</v>
      </c>
      <c r="G7" s="35">
        <f t="shared" si="1"/>
        <v>24.390000000000015</v>
      </c>
      <c r="H7" s="431">
        <f t="shared" si="2"/>
        <v>170.7300000000001</v>
      </c>
    </row>
    <row r="8" spans="1:8" x14ac:dyDescent="0.3">
      <c r="A8" s="212" t="s">
        <v>1220</v>
      </c>
      <c r="B8" s="282" t="s">
        <v>386</v>
      </c>
      <c r="C8" s="35">
        <f>VLOOKUP(B8,'Tarieven VPT'!B12:I184,8,FALSE)</f>
        <v>215.67</v>
      </c>
      <c r="D8" s="282" t="s">
        <v>268</v>
      </c>
      <c r="E8" s="35">
        <f>IFERROR(VLOOKUP(D8,'Tarieven VPT'!$B$6:$I$178,8,FALSE),0)</f>
        <v>248.6</v>
      </c>
      <c r="F8" s="35">
        <f t="shared" si="0"/>
        <v>32.930000000000007</v>
      </c>
      <c r="G8" s="35">
        <f t="shared" si="1"/>
        <v>32.930000000000007</v>
      </c>
      <c r="H8" s="431">
        <f t="shared" si="2"/>
        <v>230.51000000000005</v>
      </c>
    </row>
    <row r="9" spans="1:8" x14ac:dyDescent="0.3">
      <c r="A9" s="212" t="s">
        <v>1221</v>
      </c>
      <c r="B9" s="282" t="s">
        <v>306</v>
      </c>
      <c r="C9" s="35">
        <f>VLOOKUP(B9,'Tarieven VPT'!B13:I185,8,FALSE)</f>
        <v>249.59</v>
      </c>
      <c r="D9" s="282" t="s">
        <v>197</v>
      </c>
      <c r="E9" s="35">
        <f>IFERROR(VLOOKUP(D9,'Tarieven VPT'!$B$6:$I$178,8,FALSE),0)</f>
        <v>282.45</v>
      </c>
      <c r="F9" s="35">
        <f t="shared" si="0"/>
        <v>32.859999999999985</v>
      </c>
      <c r="G9" s="35">
        <f t="shared" si="1"/>
        <v>32.859999999999985</v>
      </c>
      <c r="H9" s="431">
        <f t="shared" si="2"/>
        <v>230.0199999999999</v>
      </c>
    </row>
    <row r="10" spans="1:8" x14ac:dyDescent="0.3">
      <c r="A10" s="212" t="s">
        <v>1222</v>
      </c>
      <c r="B10" s="282" t="s">
        <v>574</v>
      </c>
      <c r="C10" s="35">
        <f>VLOOKUP(B10,'Tarieven VPT'!B14:I186,8,FALSE)</f>
        <v>178.74999999999997</v>
      </c>
      <c r="D10" s="282" t="s">
        <v>576</v>
      </c>
      <c r="E10" s="35">
        <f>IFERROR(VLOOKUP(D10,'Tarieven VPT'!$B$6:$I$178,8,FALSE),0)</f>
        <v>245.85</v>
      </c>
      <c r="F10" s="35">
        <f t="shared" si="0"/>
        <v>67.100000000000023</v>
      </c>
      <c r="G10" s="35">
        <f t="shared" si="1"/>
        <v>67.100000000000023</v>
      </c>
      <c r="H10" s="431">
        <f t="shared" si="2"/>
        <v>469.70000000000016</v>
      </c>
    </row>
    <row r="11" spans="1:8" x14ac:dyDescent="0.3">
      <c r="A11" s="212" t="s">
        <v>1223</v>
      </c>
      <c r="B11" s="282" t="s">
        <v>93</v>
      </c>
      <c r="C11" s="35">
        <f>VLOOKUP(B11,'Tarieven VPT'!B15:I187,8,FALSE)</f>
        <v>272.34999999999997</v>
      </c>
      <c r="D11" s="282" t="s">
        <v>188</v>
      </c>
      <c r="E11" s="35">
        <f>IFERROR(VLOOKUP(D11,'Tarieven VPT'!$B$6:$I$178,8,FALSE),0)</f>
        <v>305.32</v>
      </c>
      <c r="F11" s="35">
        <f t="shared" si="0"/>
        <v>32.970000000000027</v>
      </c>
      <c r="G11" s="35">
        <f t="shared" si="1"/>
        <v>32.970000000000027</v>
      </c>
      <c r="H11" s="431">
        <f t="shared" si="2"/>
        <v>230.79000000000019</v>
      </c>
    </row>
    <row r="12" spans="1:8" x14ac:dyDescent="0.3">
      <c r="A12" s="212" t="s">
        <v>1230</v>
      </c>
      <c r="B12" s="282" t="s">
        <v>158</v>
      </c>
      <c r="C12" s="35">
        <f>VLOOKUP(B12,'Tarieven VPT'!B16:I188,8,FALSE)</f>
        <v>55.068190648887601</v>
      </c>
      <c r="D12" s="282" t="s">
        <v>1244</v>
      </c>
      <c r="E12" s="35">
        <f>IFERROR(VLOOKUP(D12,'Tarieven VPT'!$B$6:$I$178,8,FALSE),0)</f>
        <v>0</v>
      </c>
      <c r="F12" s="35">
        <f t="shared" si="0"/>
        <v>-55.068190648887601</v>
      </c>
      <c r="G12" s="35">
        <f t="shared" si="1"/>
        <v>0</v>
      </c>
      <c r="H12" s="431">
        <f t="shared" si="2"/>
        <v>0</v>
      </c>
    </row>
    <row r="13" spans="1:8" x14ac:dyDescent="0.3">
      <c r="A13" s="212" t="s">
        <v>1231</v>
      </c>
      <c r="B13" s="282" t="s">
        <v>252</v>
      </c>
      <c r="C13" s="35">
        <f>VLOOKUP(B13,'Tarieven VPT'!B17:I189,8,FALSE)</f>
        <v>67.60618872459284</v>
      </c>
      <c r="D13" s="282" t="s">
        <v>1244</v>
      </c>
      <c r="E13" s="35">
        <f>IFERROR(VLOOKUP(D13,'Tarieven VPT'!$B$6:$I$178,8,FALSE),0)</f>
        <v>0</v>
      </c>
      <c r="F13" s="35">
        <f t="shared" si="0"/>
        <v>-67.60618872459284</v>
      </c>
      <c r="G13" s="35">
        <f t="shared" si="1"/>
        <v>0</v>
      </c>
      <c r="H13" s="431">
        <f t="shared" si="2"/>
        <v>0</v>
      </c>
    </row>
    <row r="14" spans="1:8" x14ac:dyDescent="0.3">
      <c r="A14" s="212" t="s">
        <v>1232</v>
      </c>
      <c r="B14" s="282" t="s">
        <v>220</v>
      </c>
      <c r="C14" s="35">
        <f>VLOOKUP(B14,'Tarieven VPT'!B18:I190,8,FALSE)</f>
        <v>93.287151444190116</v>
      </c>
      <c r="D14" s="282" t="s">
        <v>235</v>
      </c>
      <c r="E14" s="35">
        <f>IFERROR(VLOOKUP(D14,'Tarieven VPT'!$B$6:$I$178,8,FALSE),0)</f>
        <v>115.46805264508852</v>
      </c>
      <c r="F14" s="35">
        <f t="shared" si="0"/>
        <v>22.180901200898404</v>
      </c>
      <c r="G14" s="35">
        <f t="shared" si="1"/>
        <v>22.180901200898404</v>
      </c>
      <c r="H14" s="431">
        <f t="shared" si="2"/>
        <v>155.26630840628883</v>
      </c>
    </row>
    <row r="15" spans="1:8" x14ac:dyDescent="0.3">
      <c r="A15" s="212" t="s">
        <v>1233</v>
      </c>
      <c r="B15" s="282" t="s">
        <v>275</v>
      </c>
      <c r="C15" s="35">
        <f>VLOOKUP(B15,'Tarieven VPT'!B19:I191,8,FALSE)</f>
        <v>114.18009999028516</v>
      </c>
      <c r="D15" s="282" t="s">
        <v>318</v>
      </c>
      <c r="E15" s="35">
        <f>IFERROR(VLOOKUP(D15,'Tarieven VPT'!$B$6:$I$178,8,FALSE),0)</f>
        <v>152.13073370320529</v>
      </c>
      <c r="F15" s="35">
        <f t="shared" si="0"/>
        <v>37.950633712920137</v>
      </c>
      <c r="G15" s="35">
        <f t="shared" si="1"/>
        <v>37.950633712920137</v>
      </c>
      <c r="H15" s="431">
        <f t="shared" si="2"/>
        <v>265.65443599044096</v>
      </c>
    </row>
    <row r="16" spans="1:8" x14ac:dyDescent="0.3">
      <c r="A16" s="212" t="s">
        <v>1234</v>
      </c>
      <c r="B16" s="282" t="s">
        <v>288</v>
      </c>
      <c r="C16" s="35">
        <f>VLOOKUP(B16,'Tarieven VPT'!B20:I192,8,FALSE)</f>
        <v>152.73167493660105</v>
      </c>
      <c r="D16" s="282" t="s">
        <v>202</v>
      </c>
      <c r="E16" s="35">
        <f>IFERROR(VLOOKUP(D16,'Tarieven VPT'!$B$6:$I$178,8,FALSE),0)</f>
        <v>184.47737520901404</v>
      </c>
      <c r="F16" s="35">
        <f t="shared" si="0"/>
        <v>31.745700272412989</v>
      </c>
      <c r="G16" s="35">
        <f t="shared" si="1"/>
        <v>31.745700272412989</v>
      </c>
      <c r="H16" s="431">
        <f t="shared" si="2"/>
        <v>222.21990190689093</v>
      </c>
    </row>
    <row r="17" spans="1:8" x14ac:dyDescent="0.3">
      <c r="A17" s="212" t="s">
        <v>1235</v>
      </c>
      <c r="B17" s="282" t="s">
        <v>310</v>
      </c>
      <c r="C17" s="35">
        <f>VLOOKUP(B17,'Tarieven VPT'!B21:I193,8,FALSE)</f>
        <v>119.0066787459839</v>
      </c>
      <c r="D17" s="282" t="s">
        <v>64</v>
      </c>
      <c r="E17" s="35">
        <f>IFERROR(VLOOKUP(D17,'Tarieven VPT'!$B$6:$I$178,8,FALSE),0)</f>
        <v>161.16430097526481</v>
      </c>
      <c r="F17" s="35">
        <f t="shared" si="0"/>
        <v>42.157622229280904</v>
      </c>
      <c r="G17" s="35">
        <f t="shared" si="1"/>
        <v>42.157622229280904</v>
      </c>
      <c r="H17" s="431">
        <f t="shared" si="2"/>
        <v>295.10335560496634</v>
      </c>
    </row>
    <row r="18" spans="1:8" x14ac:dyDescent="0.3">
      <c r="A18" s="212" t="s">
        <v>1236</v>
      </c>
      <c r="B18" s="282" t="s">
        <v>147</v>
      </c>
      <c r="C18" s="35">
        <f>VLOOKUP(B18,'Tarieven VPT'!B22:I194,8,FALSE)</f>
        <v>165.86764084009522</v>
      </c>
      <c r="D18" s="282" t="s">
        <v>329</v>
      </c>
      <c r="E18" s="35">
        <f>IFERROR(VLOOKUP(D18,'Tarieven VPT'!$B$6:$I$178,8,FALSE),0)</f>
        <v>239.27611006464548</v>
      </c>
      <c r="F18" s="35">
        <f t="shared" si="0"/>
        <v>73.408469224550259</v>
      </c>
      <c r="G18" s="35">
        <f t="shared" si="1"/>
        <v>73.408469224550259</v>
      </c>
      <c r="H18" s="431">
        <f t="shared" si="2"/>
        <v>513.85928457185184</v>
      </c>
    </row>
    <row r="19" spans="1:8" x14ac:dyDescent="0.3">
      <c r="A19" s="212" t="s">
        <v>1237</v>
      </c>
      <c r="B19" s="282" t="s">
        <v>373</v>
      </c>
      <c r="C19" s="35">
        <f>VLOOKUP(B19,'Tarieven VPT'!B23:I195,8,FALSE)</f>
        <v>179.99244424591183</v>
      </c>
      <c r="D19" s="282" t="s">
        <v>282</v>
      </c>
      <c r="E19" s="35">
        <f>IFERROR(VLOOKUP(D19,'Tarieven VPT'!$B$6:$I$178,8,FALSE),0)</f>
        <v>223.72966023292321</v>
      </c>
      <c r="F19" s="35">
        <f t="shared" si="0"/>
        <v>43.737215987011382</v>
      </c>
      <c r="G19" s="35">
        <f t="shared" si="1"/>
        <v>43.737215987011382</v>
      </c>
      <c r="H19" s="431">
        <f t="shared" si="2"/>
        <v>306.16051190907967</v>
      </c>
    </row>
    <row r="20" spans="1:8" x14ac:dyDescent="0.3">
      <c r="A20" s="212" t="s">
        <v>1238</v>
      </c>
      <c r="B20" s="282" t="s">
        <v>126</v>
      </c>
      <c r="C20" s="35">
        <f>VLOOKUP(B20,'Tarieven VPT'!B24:I196,8,FALSE)</f>
        <v>181.71156252222264</v>
      </c>
      <c r="D20" s="282" t="s">
        <v>126</v>
      </c>
      <c r="E20" s="35">
        <f>IFERROR(VLOOKUP(D20,'Tarieven VPT'!$B$6:$I$178,8,FALSE),0)</f>
        <v>181.71156252222264</v>
      </c>
      <c r="F20" s="35">
        <f t="shared" si="0"/>
        <v>0</v>
      </c>
      <c r="G20" s="35">
        <f t="shared" si="1"/>
        <v>0</v>
      </c>
      <c r="H20" s="431">
        <f t="shared" si="2"/>
        <v>0</v>
      </c>
    </row>
    <row r="21" spans="1:8" x14ac:dyDescent="0.3">
      <c r="A21" s="212" t="s">
        <v>1239</v>
      </c>
      <c r="B21" s="282" t="s">
        <v>257</v>
      </c>
      <c r="C21" s="35">
        <f>VLOOKUP(B21,'Tarieven VPT'!B25:I197,8,FALSE)</f>
        <v>223.02982540497803</v>
      </c>
      <c r="D21" s="282" t="s">
        <v>257</v>
      </c>
      <c r="E21" s="35">
        <f>IFERROR(VLOOKUP(D21,'Tarieven VPT'!$B$6:$I$178,8,FALSE),0)</f>
        <v>223.02982540497803</v>
      </c>
      <c r="F21" s="35">
        <f t="shared" si="0"/>
        <v>0</v>
      </c>
      <c r="G21" s="35">
        <f t="shared" si="1"/>
        <v>0</v>
      </c>
      <c r="H21" s="431">
        <f t="shared" si="2"/>
        <v>0</v>
      </c>
    </row>
    <row r="22" spans="1:8" x14ac:dyDescent="0.3">
      <c r="A22" s="212" t="s">
        <v>1240</v>
      </c>
      <c r="B22" s="282" t="s">
        <v>272</v>
      </c>
      <c r="C22" s="35">
        <f>VLOOKUP(B22,'Tarieven VPT'!B26:I198,8,FALSE)</f>
        <v>288.0679873296308</v>
      </c>
      <c r="D22" s="282" t="s">
        <v>272</v>
      </c>
      <c r="E22" s="35">
        <f>IFERROR(VLOOKUP(D22,'Tarieven VPT'!$B$6:$I$178,8,FALSE),0)</f>
        <v>288.0679873296308</v>
      </c>
      <c r="F22" s="35">
        <f t="shared" si="0"/>
        <v>0</v>
      </c>
      <c r="G22" s="35">
        <f t="shared" si="1"/>
        <v>0</v>
      </c>
      <c r="H22" s="431">
        <f t="shared" si="2"/>
        <v>0</v>
      </c>
    </row>
    <row r="23" spans="1:8" x14ac:dyDescent="0.3">
      <c r="A23" s="212" t="s">
        <v>1241</v>
      </c>
      <c r="B23" s="282" t="s">
        <v>241</v>
      </c>
      <c r="C23" s="35">
        <f>VLOOKUP(B23,'Tarieven VPT'!B27:I199,8,FALSE)</f>
        <v>336.20734898974183</v>
      </c>
      <c r="D23" s="282" t="s">
        <v>241</v>
      </c>
      <c r="E23" s="35">
        <f>IFERROR(VLOOKUP(D23,'Tarieven VPT'!$B$6:$I$178,8,FALSE),0)</f>
        <v>336.20734898974183</v>
      </c>
      <c r="F23" s="35">
        <f t="shared" si="0"/>
        <v>0</v>
      </c>
      <c r="G23" s="35">
        <f t="shared" si="1"/>
        <v>0</v>
      </c>
      <c r="H23" s="431">
        <f t="shared" si="2"/>
        <v>0</v>
      </c>
    </row>
    <row r="24" spans="1:8" x14ac:dyDescent="0.3">
      <c r="A24" s="212" t="s">
        <v>1242</v>
      </c>
      <c r="B24" s="282" t="s">
        <v>206</v>
      </c>
      <c r="C24" s="35">
        <f>VLOOKUP(B24,'Tarieven VPT'!B28:I200,8,FALSE)</f>
        <v>318.4879602792123</v>
      </c>
      <c r="D24" s="282" t="s">
        <v>206</v>
      </c>
      <c r="E24" s="35">
        <f>IFERROR(VLOOKUP(D24,'Tarieven VPT'!$B$6:$I$178,8,FALSE),0)</f>
        <v>318.4879602792123</v>
      </c>
      <c r="F24" s="35">
        <f t="shared" si="0"/>
        <v>0</v>
      </c>
      <c r="G24" s="35">
        <f t="shared" si="1"/>
        <v>0</v>
      </c>
      <c r="H24" s="431">
        <f t="shared" si="2"/>
        <v>0</v>
      </c>
    </row>
    <row r="25" spans="1:8" x14ac:dyDescent="0.3">
      <c r="A25" s="212" t="s">
        <v>1243</v>
      </c>
      <c r="B25" s="282" t="s">
        <v>566</v>
      </c>
      <c r="C25" s="35">
        <f>VLOOKUP(B25,'Tarieven VPT'!B29:I201,8,FALSE)</f>
        <v>348.95</v>
      </c>
      <c r="D25" s="282" t="s">
        <v>566</v>
      </c>
      <c r="E25" s="35">
        <f>IFERROR(VLOOKUP(D25,'Tarieven VPT'!$B$6:$I$178,8,FALSE),0)</f>
        <v>348.95</v>
      </c>
      <c r="F25" s="35">
        <f t="shared" si="0"/>
        <v>0</v>
      </c>
      <c r="G25" s="35">
        <f t="shared" si="1"/>
        <v>0</v>
      </c>
      <c r="H25" s="431">
        <f t="shared" si="2"/>
        <v>0</v>
      </c>
    </row>
    <row r="26" spans="1:8" x14ac:dyDescent="0.3">
      <c r="A26" s="212" t="s">
        <v>1198</v>
      </c>
      <c r="B26" s="282" t="s">
        <v>217</v>
      </c>
      <c r="C26" s="35">
        <f>VLOOKUP(B26,'Tarieven VPT'!B30:I202,8,FALSE)</f>
        <v>80.184296978590254</v>
      </c>
      <c r="D26" s="282" t="s">
        <v>1244</v>
      </c>
      <c r="E26" s="35">
        <f>IFERROR(VLOOKUP(D26,'Tarieven VPT'!$B$6:$I$178,8,FALSE),0)</f>
        <v>0</v>
      </c>
      <c r="F26" s="35">
        <f t="shared" si="0"/>
        <v>-80.184296978590254</v>
      </c>
      <c r="G26" s="35">
        <f t="shared" si="1"/>
        <v>0</v>
      </c>
      <c r="H26" s="431">
        <f t="shared" si="2"/>
        <v>0</v>
      </c>
    </row>
    <row r="27" spans="1:8" x14ac:dyDescent="0.3">
      <c r="A27" s="212" t="s">
        <v>1199</v>
      </c>
      <c r="B27" s="282" t="s">
        <v>123</v>
      </c>
      <c r="C27" s="35">
        <f>VLOOKUP(B27,'Tarieven VPT'!B31:I203,8,FALSE)</f>
        <v>116.95853183103148</v>
      </c>
      <c r="D27" s="282" t="s">
        <v>1244</v>
      </c>
      <c r="E27" s="35">
        <f>IFERROR(VLOOKUP(D27,'Tarieven VPT'!$B$6:$I$178,8,FALSE),0)</f>
        <v>0</v>
      </c>
      <c r="F27" s="35">
        <f t="shared" si="0"/>
        <v>-116.95853183103148</v>
      </c>
      <c r="G27" s="35">
        <f t="shared" si="1"/>
        <v>0</v>
      </c>
      <c r="H27" s="431">
        <f t="shared" si="2"/>
        <v>0</v>
      </c>
    </row>
    <row r="28" spans="1:8" x14ac:dyDescent="0.3">
      <c r="A28" s="212" t="s">
        <v>1200</v>
      </c>
      <c r="B28" s="282" t="s">
        <v>255</v>
      </c>
      <c r="C28" s="35">
        <f>VLOOKUP(B28,'Tarieven VPT'!B32:I204,8,FALSE)</f>
        <v>90.655774999477799</v>
      </c>
      <c r="D28" s="282" t="s">
        <v>181</v>
      </c>
      <c r="E28" s="35">
        <f>IFERROR(VLOOKUP(D28,'Tarieven VPT'!$B$6:$I$178,8,FALSE),0)</f>
        <v>113.98401609027584</v>
      </c>
      <c r="F28" s="35">
        <f t="shared" si="0"/>
        <v>23.328241090798045</v>
      </c>
      <c r="G28" s="35">
        <f t="shared" si="1"/>
        <v>23.328241090798045</v>
      </c>
      <c r="H28" s="431">
        <f t="shared" si="2"/>
        <v>163.29768763558633</v>
      </c>
    </row>
    <row r="29" spans="1:8" x14ac:dyDescent="0.3">
      <c r="A29" s="212" t="s">
        <v>1201</v>
      </c>
      <c r="B29" s="282" t="s">
        <v>343</v>
      </c>
      <c r="C29" s="35">
        <f>VLOOKUP(B29,'Tarieven VPT'!B33:I205,8,FALSE)</f>
        <v>142.10788125402721</v>
      </c>
      <c r="D29" s="282" t="s">
        <v>233</v>
      </c>
      <c r="E29" s="35">
        <f>IFERROR(VLOOKUP(D29,'Tarieven VPT'!$B$6:$I$178,8,FALSE),0)</f>
        <v>178.61620771845716</v>
      </c>
      <c r="F29" s="35">
        <f t="shared" si="0"/>
        <v>36.508326464429956</v>
      </c>
      <c r="G29" s="35">
        <f t="shared" si="1"/>
        <v>36.508326464429956</v>
      </c>
      <c r="H29" s="431">
        <f t="shared" si="2"/>
        <v>255.55828525100969</v>
      </c>
    </row>
    <row r="30" spans="1:8" x14ac:dyDescent="0.3">
      <c r="A30" s="212" t="s">
        <v>1202</v>
      </c>
      <c r="B30" s="282" t="s">
        <v>143</v>
      </c>
      <c r="C30" s="35">
        <f>VLOOKUP(B30,'Tarieven VPT'!B34:I206,8,FALSE)</f>
        <v>143.71202121814392</v>
      </c>
      <c r="D30" s="282" t="s">
        <v>155</v>
      </c>
      <c r="E30" s="35">
        <f>IFERROR(VLOOKUP(D30,'Tarieven VPT'!$B$6:$I$178,8,FALSE),0)</f>
        <v>181.07415678270959</v>
      </c>
      <c r="F30" s="35">
        <f t="shared" si="0"/>
        <v>37.362135564565676</v>
      </c>
      <c r="G30" s="35">
        <f t="shared" si="1"/>
        <v>37.362135564565676</v>
      </c>
      <c r="H30" s="431">
        <f t="shared" si="2"/>
        <v>261.53494895195973</v>
      </c>
    </row>
    <row r="31" spans="1:8" x14ac:dyDescent="0.3">
      <c r="A31" s="212" t="s">
        <v>1203</v>
      </c>
      <c r="B31" s="282" t="s">
        <v>228</v>
      </c>
      <c r="C31" s="35">
        <f>VLOOKUP(B31,'Tarieven VPT'!B35:I207,8,FALSE)</f>
        <v>199.55888424457731</v>
      </c>
      <c r="D31" s="282" t="s">
        <v>380</v>
      </c>
      <c r="E31" s="35">
        <f>IFERROR(VLOOKUP(D31,'Tarieven VPT'!$B$6:$I$178,8,FALSE),0)</f>
        <v>250.41121228386868</v>
      </c>
      <c r="F31" s="35">
        <f t="shared" si="0"/>
        <v>50.852328039291365</v>
      </c>
      <c r="G31" s="35">
        <f t="shared" si="1"/>
        <v>50.852328039291365</v>
      </c>
      <c r="H31" s="431">
        <f t="shared" si="2"/>
        <v>355.96629627503955</v>
      </c>
    </row>
    <row r="32" spans="1:8" x14ac:dyDescent="0.3">
      <c r="A32" s="212" t="s">
        <v>1204</v>
      </c>
      <c r="B32" s="282" t="s">
        <v>162</v>
      </c>
      <c r="C32" s="35">
        <f>VLOOKUP(B32,'Tarieven VPT'!B36:I208,8,FALSE)</f>
        <v>226.16216367750789</v>
      </c>
      <c r="D32" s="282" t="s">
        <v>178</v>
      </c>
      <c r="E32" s="35">
        <f>IFERROR(VLOOKUP(D32,'Tarieven VPT'!$B$6:$I$178,8,FALSE),0)</f>
        <v>280.48510418164119</v>
      </c>
      <c r="F32" s="35">
        <f t="shared" si="0"/>
        <v>54.3229405041333</v>
      </c>
      <c r="G32" s="35">
        <f t="shared" si="1"/>
        <v>54.3229405041333</v>
      </c>
      <c r="H32" s="431">
        <f t="shared" si="2"/>
        <v>380.26058352893313</v>
      </c>
    </row>
    <row r="33" spans="1:8" x14ac:dyDescent="0.3">
      <c r="A33" s="212" t="s">
        <v>1205</v>
      </c>
      <c r="B33" s="282" t="s">
        <v>360</v>
      </c>
      <c r="C33" s="35">
        <f>VLOOKUP(B33,'Tarieven VPT'!B37:I209,8,FALSE)</f>
        <v>135.04180612422513</v>
      </c>
      <c r="D33" s="282" t="s">
        <v>307</v>
      </c>
      <c r="E33" s="35">
        <f>IFERROR(VLOOKUP(D33,'Tarieven VPT'!$B$6:$I$178,8,FALSE),0)</f>
        <v>127.50588740432228</v>
      </c>
      <c r="F33" s="35">
        <f t="shared" si="0"/>
        <v>-7.5359187199028526</v>
      </c>
      <c r="G33" s="35">
        <f t="shared" si="1"/>
        <v>0</v>
      </c>
      <c r="H33" s="431">
        <f t="shared" si="2"/>
        <v>0</v>
      </c>
    </row>
    <row r="34" spans="1:8" x14ac:dyDescent="0.3">
      <c r="A34" s="212" t="s">
        <v>1206</v>
      </c>
      <c r="B34" s="282" t="s">
        <v>173</v>
      </c>
      <c r="C34" s="35">
        <f>VLOOKUP(B34,'Tarieven VPT'!B38:I210,8,FALSE)</f>
        <v>275.89979500224422</v>
      </c>
      <c r="D34" s="282" t="s">
        <v>227</v>
      </c>
      <c r="E34" s="35">
        <f>IFERROR(VLOOKUP(D34,'Tarieven VPT'!$B$6:$I$178,8,FALSE),0)</f>
        <v>280.23480789127456</v>
      </c>
      <c r="F34" s="35">
        <f t="shared" si="0"/>
        <v>4.3350128890303381</v>
      </c>
      <c r="G34" s="35">
        <f t="shared" si="1"/>
        <v>4.3350128890303381</v>
      </c>
      <c r="H34" s="431">
        <f t="shared" si="2"/>
        <v>30.345090223212367</v>
      </c>
    </row>
    <row r="35" spans="1:8" x14ac:dyDescent="0.3">
      <c r="A35" s="212" t="s">
        <v>1207</v>
      </c>
      <c r="B35" s="282" t="s">
        <v>195</v>
      </c>
      <c r="C35" s="35">
        <f>VLOOKUP(B35,'Tarieven VPT'!B39:I211,8,FALSE)</f>
        <v>315.84149111145734</v>
      </c>
      <c r="D35" s="282" t="s">
        <v>103</v>
      </c>
      <c r="E35" s="35">
        <f>IFERROR(VLOOKUP(D35,'Tarieven VPT'!$B$6:$I$178,8,FALSE),0)</f>
        <v>322.12713810594664</v>
      </c>
      <c r="F35" s="35">
        <f t="shared" si="0"/>
        <v>6.2856469944892979</v>
      </c>
      <c r="G35" s="35">
        <f t="shared" si="1"/>
        <v>6.2856469944892979</v>
      </c>
      <c r="H35" s="431">
        <f t="shared" si="2"/>
        <v>43.999528961425085</v>
      </c>
    </row>
    <row r="36" spans="1:8" x14ac:dyDescent="0.3">
      <c r="A36" s="212" t="s">
        <v>1208</v>
      </c>
      <c r="B36" s="282" t="s">
        <v>190</v>
      </c>
      <c r="C36" s="35">
        <f>VLOOKUP(B36,'Tarieven VPT'!B40:I212,8,FALSE)</f>
        <v>162.69999999999999</v>
      </c>
      <c r="D36" s="282" t="s">
        <v>376</v>
      </c>
      <c r="E36" s="35">
        <f>IFERROR(VLOOKUP(D36,'Tarieven VPT'!$B$6:$I$178,8,FALSE),0)</f>
        <v>186.02</v>
      </c>
      <c r="F36" s="35">
        <f t="shared" si="0"/>
        <v>23.320000000000022</v>
      </c>
      <c r="G36" s="35">
        <f t="shared" si="1"/>
        <v>23.320000000000022</v>
      </c>
      <c r="H36" s="431">
        <f t="shared" si="2"/>
        <v>163.24000000000015</v>
      </c>
    </row>
    <row r="37" spans="1:8" x14ac:dyDescent="0.3">
      <c r="A37" s="212" t="s">
        <v>1209</v>
      </c>
      <c r="B37" s="282" t="s">
        <v>113</v>
      </c>
      <c r="C37" s="35">
        <f>VLOOKUP(B37,'Tarieven VPT'!B41:I213,8,FALSE)</f>
        <v>74.63</v>
      </c>
      <c r="D37" s="282" t="s">
        <v>1244</v>
      </c>
      <c r="E37" s="35">
        <f>IFERROR(VLOOKUP(D37,'Tarieven VPT'!$B$6:$I$178,8,FALSE),0)</f>
        <v>0</v>
      </c>
      <c r="F37" s="35">
        <f t="shared" si="0"/>
        <v>-74.63</v>
      </c>
      <c r="G37" s="35">
        <f t="shared" si="1"/>
        <v>0</v>
      </c>
      <c r="H37" s="431">
        <f t="shared" si="2"/>
        <v>0</v>
      </c>
    </row>
    <row r="38" spans="1:8" x14ac:dyDescent="0.3">
      <c r="A38" s="212" t="s">
        <v>1210</v>
      </c>
      <c r="B38" s="282" t="s">
        <v>200</v>
      </c>
      <c r="C38" s="35">
        <f>VLOOKUP(B38,'Tarieven VPT'!B42:I214,8,FALSE)</f>
        <v>110.64</v>
      </c>
      <c r="D38" s="282" t="s">
        <v>1244</v>
      </c>
      <c r="E38" s="35">
        <f>IFERROR(VLOOKUP(D38,'Tarieven VPT'!$B$6:$I$178,8,FALSE),0)</f>
        <v>0</v>
      </c>
      <c r="F38" s="35">
        <f t="shared" si="0"/>
        <v>-110.64</v>
      </c>
      <c r="G38" s="35">
        <f t="shared" si="1"/>
        <v>0</v>
      </c>
      <c r="H38" s="431">
        <f t="shared" si="2"/>
        <v>0</v>
      </c>
    </row>
    <row r="39" spans="1:8" x14ac:dyDescent="0.3">
      <c r="A39" s="212" t="s">
        <v>1211</v>
      </c>
      <c r="B39" s="282" t="s">
        <v>224</v>
      </c>
      <c r="C39" s="35">
        <f>VLOOKUP(B39,'Tarieven VPT'!B43:I215,8,FALSE)</f>
        <v>135.34</v>
      </c>
      <c r="D39" s="282" t="s">
        <v>286</v>
      </c>
      <c r="E39" s="35">
        <f>IFERROR(VLOOKUP(D39,'Tarieven VPT'!$B$6:$I$178,8,FALSE),0)</f>
        <v>149.32</v>
      </c>
      <c r="F39" s="35">
        <f t="shared" si="0"/>
        <v>13.97999999999999</v>
      </c>
      <c r="G39" s="35">
        <f t="shared" si="1"/>
        <v>13.97999999999999</v>
      </c>
      <c r="H39" s="431">
        <f t="shared" si="2"/>
        <v>97.859999999999928</v>
      </c>
    </row>
    <row r="40" spans="1:8" x14ac:dyDescent="0.3">
      <c r="A40" s="212" t="s">
        <v>1212</v>
      </c>
      <c r="B40" s="282" t="s">
        <v>304</v>
      </c>
      <c r="C40" s="35">
        <f>VLOOKUP(B40,'Tarieven VPT'!B44:I216,8,FALSE)</f>
        <v>171.65</v>
      </c>
      <c r="D40" s="282" t="s">
        <v>58</v>
      </c>
      <c r="E40" s="35">
        <f>IFERROR(VLOOKUP(D40,'Tarieven VPT'!$B$6:$I$178,8,FALSE),0)</f>
        <v>189.53</v>
      </c>
      <c r="F40" s="35">
        <f t="shared" si="0"/>
        <v>17.879999999999995</v>
      </c>
      <c r="G40" s="35">
        <f t="shared" si="1"/>
        <v>17.879999999999995</v>
      </c>
      <c r="H40" s="431">
        <f t="shared" si="2"/>
        <v>125.15999999999997</v>
      </c>
    </row>
    <row r="41" spans="1:8" x14ac:dyDescent="0.3">
      <c r="A41" s="430" t="s">
        <v>1213</v>
      </c>
      <c r="B41" s="282" t="s">
        <v>285</v>
      </c>
      <c r="C41" s="35">
        <f>VLOOKUP(B41,'Tarieven VPT'!B45:I217,8,FALSE)</f>
        <v>188.72</v>
      </c>
      <c r="D41" s="282" t="s">
        <v>258</v>
      </c>
      <c r="E41" s="35">
        <f>IFERROR(VLOOKUP(D41,'Tarieven VPT'!$B$6:$I$178,8,FALSE),0)</f>
        <v>210.91</v>
      </c>
      <c r="F41" s="35">
        <f t="shared" si="0"/>
        <v>22.189999999999998</v>
      </c>
      <c r="G41" s="35">
        <f t="shared" si="1"/>
        <v>22.189999999999998</v>
      </c>
      <c r="H41" s="431">
        <f t="shared" si="2"/>
        <v>155.32999999999998</v>
      </c>
    </row>
    <row r="42" spans="1:8" x14ac:dyDescent="0.3">
      <c r="A42" s="264"/>
    </row>
    <row r="43" spans="1:8" x14ac:dyDescent="0.3">
      <c r="A43" s="264"/>
    </row>
    <row r="44" spans="1:8" x14ac:dyDescent="0.3">
      <c r="A44" s="264"/>
    </row>
    <row r="45" spans="1:8" x14ac:dyDescent="0.3">
      <c r="A45" s="264"/>
    </row>
    <row r="46" spans="1:8" x14ac:dyDescent="0.3">
      <c r="A46" s="264"/>
    </row>
    <row r="47" spans="1:8" x14ac:dyDescent="0.3">
      <c r="A47" s="264"/>
    </row>
    <row r="48" spans="1:8" x14ac:dyDescent="0.3">
      <c r="A48" s="264"/>
    </row>
    <row r="49" spans="1:1" x14ac:dyDescent="0.3">
      <c r="A49" s="264"/>
    </row>
    <row r="50" spans="1:1" x14ac:dyDescent="0.3">
      <c r="A50" s="264"/>
    </row>
    <row r="51" spans="1:1" x14ac:dyDescent="0.3">
      <c r="A51" s="264"/>
    </row>
    <row r="52" spans="1:1" x14ac:dyDescent="0.3">
      <c r="A52" s="264"/>
    </row>
    <row r="53" spans="1:1" x14ac:dyDescent="0.3">
      <c r="A53" s="264"/>
    </row>
    <row r="54" spans="1:1" x14ac:dyDescent="0.3">
      <c r="A54" s="264"/>
    </row>
    <row r="55" spans="1:1" x14ac:dyDescent="0.3">
      <c r="A55" s="264"/>
    </row>
    <row r="56" spans="1:1" x14ac:dyDescent="0.3">
      <c r="A56" s="264"/>
    </row>
    <row r="57" spans="1:1" x14ac:dyDescent="0.3">
      <c r="A57" s="264"/>
    </row>
    <row r="58" spans="1:1" x14ac:dyDescent="0.3">
      <c r="A58" s="264"/>
    </row>
    <row r="59" spans="1:1" x14ac:dyDescent="0.3">
      <c r="A59" s="264"/>
    </row>
    <row r="60" spans="1:1" x14ac:dyDescent="0.3">
      <c r="A60" s="264"/>
    </row>
    <row r="61" spans="1:1" x14ac:dyDescent="0.3">
      <c r="A61" s="264"/>
    </row>
    <row r="62" spans="1:1" x14ac:dyDescent="0.3">
      <c r="A62" s="264"/>
    </row>
    <row r="63" spans="1:1" x14ac:dyDescent="0.3">
      <c r="A63" s="264"/>
    </row>
    <row r="64" spans="1:1" x14ac:dyDescent="0.3">
      <c r="A64" s="264"/>
    </row>
    <row r="65" spans="1:1" x14ac:dyDescent="0.3">
      <c r="A65" s="264"/>
    </row>
    <row r="66" spans="1:1" x14ac:dyDescent="0.3">
      <c r="A66" s="264"/>
    </row>
    <row r="67" spans="1:1" x14ac:dyDescent="0.3">
      <c r="A67" s="264"/>
    </row>
    <row r="68" spans="1:1" x14ac:dyDescent="0.3">
      <c r="A68" s="264"/>
    </row>
    <row r="69" spans="1:1" x14ac:dyDescent="0.3">
      <c r="A69" s="264"/>
    </row>
    <row r="70" spans="1:1" x14ac:dyDescent="0.3">
      <c r="A70" s="264"/>
    </row>
    <row r="71" spans="1:1" x14ac:dyDescent="0.3">
      <c r="A71" s="264"/>
    </row>
    <row r="72" spans="1:1" x14ac:dyDescent="0.3">
      <c r="A72" s="264"/>
    </row>
    <row r="73" spans="1:1" x14ac:dyDescent="0.3">
      <c r="A73" s="264"/>
    </row>
    <row r="74" spans="1:1" x14ac:dyDescent="0.3">
      <c r="A74" s="264"/>
    </row>
    <row r="75" spans="1:1" x14ac:dyDescent="0.3">
      <c r="A75" s="264"/>
    </row>
    <row r="76" spans="1:1" x14ac:dyDescent="0.3">
      <c r="A76" s="264"/>
    </row>
    <row r="77" spans="1:1" x14ac:dyDescent="0.3">
      <c r="A77" s="264"/>
    </row>
    <row r="78" spans="1:1" x14ac:dyDescent="0.3">
      <c r="A78" s="264"/>
    </row>
    <row r="79" spans="1:1" x14ac:dyDescent="0.3">
      <c r="A79" s="264"/>
    </row>
    <row r="80" spans="1:1" x14ac:dyDescent="0.3">
      <c r="A80" s="264"/>
    </row>
    <row r="81" spans="1:1" x14ac:dyDescent="0.3">
      <c r="A81" s="264"/>
    </row>
    <row r="82" spans="1:1" x14ac:dyDescent="0.3">
      <c r="A82" s="264"/>
    </row>
    <row r="83" spans="1:1" x14ac:dyDescent="0.3">
      <c r="A83" s="264"/>
    </row>
    <row r="84" spans="1:1" x14ac:dyDescent="0.3">
      <c r="A84" s="264"/>
    </row>
    <row r="85" spans="1:1" x14ac:dyDescent="0.3">
      <c r="A85" s="264"/>
    </row>
    <row r="86" spans="1:1" x14ac:dyDescent="0.3">
      <c r="A86" s="264"/>
    </row>
    <row r="87" spans="1:1" x14ac:dyDescent="0.3">
      <c r="A87" s="264"/>
    </row>
    <row r="88" spans="1:1" x14ac:dyDescent="0.3">
      <c r="A88" s="264"/>
    </row>
    <row r="89" spans="1:1" x14ac:dyDescent="0.3">
      <c r="A89" s="264"/>
    </row>
    <row r="90" spans="1:1" x14ac:dyDescent="0.3">
      <c r="A90" s="264"/>
    </row>
    <row r="91" spans="1:1" x14ac:dyDescent="0.3">
      <c r="A91" s="264"/>
    </row>
    <row r="92" spans="1:1" x14ac:dyDescent="0.3">
      <c r="A92" s="264"/>
    </row>
    <row r="93" spans="1:1" x14ac:dyDescent="0.3">
      <c r="A93" s="264"/>
    </row>
    <row r="94" spans="1:1" x14ac:dyDescent="0.3">
      <c r="A94" s="264"/>
    </row>
    <row r="95" spans="1:1" x14ac:dyDescent="0.3">
      <c r="A95" s="264"/>
    </row>
    <row r="96" spans="1:1" x14ac:dyDescent="0.3">
      <c r="A96" s="264"/>
    </row>
    <row r="97" spans="1:1" x14ac:dyDescent="0.3">
      <c r="A97" s="264"/>
    </row>
    <row r="98" spans="1:1" x14ac:dyDescent="0.3">
      <c r="A98" s="264"/>
    </row>
    <row r="99" spans="1:1" x14ac:dyDescent="0.3">
      <c r="A99" s="264"/>
    </row>
    <row r="100" spans="1:1" x14ac:dyDescent="0.3">
      <c r="A100" s="264"/>
    </row>
    <row r="101" spans="1:1" x14ac:dyDescent="0.3">
      <c r="A101" s="264"/>
    </row>
    <row r="102" spans="1:1" x14ac:dyDescent="0.3">
      <c r="A102" s="264"/>
    </row>
    <row r="103" spans="1:1" x14ac:dyDescent="0.3">
      <c r="A103" s="264"/>
    </row>
    <row r="104" spans="1:1" x14ac:dyDescent="0.3">
      <c r="A104" s="264"/>
    </row>
    <row r="105" spans="1:1" x14ac:dyDescent="0.3">
      <c r="A105" s="264"/>
    </row>
    <row r="106" spans="1:1" x14ac:dyDescent="0.3">
      <c r="A106" s="264"/>
    </row>
    <row r="107" spans="1:1" x14ac:dyDescent="0.3">
      <c r="A107" s="264"/>
    </row>
    <row r="108" spans="1:1" x14ac:dyDescent="0.3">
      <c r="A108" s="264"/>
    </row>
    <row r="109" spans="1:1" x14ac:dyDescent="0.3">
      <c r="A109" s="264"/>
    </row>
    <row r="110" spans="1:1" x14ac:dyDescent="0.3">
      <c r="A110" s="264"/>
    </row>
    <row r="111" spans="1:1" x14ac:dyDescent="0.3">
      <c r="A111" s="264"/>
    </row>
    <row r="112" spans="1:1" x14ac:dyDescent="0.3">
      <c r="A112" s="264"/>
    </row>
    <row r="113" spans="1:1" x14ac:dyDescent="0.3">
      <c r="A113" s="264"/>
    </row>
    <row r="114" spans="1:1" x14ac:dyDescent="0.3">
      <c r="A114" s="264"/>
    </row>
    <row r="115" spans="1:1" x14ac:dyDescent="0.3">
      <c r="A115" s="264"/>
    </row>
    <row r="116" spans="1:1" x14ac:dyDescent="0.3">
      <c r="A116" s="264"/>
    </row>
    <row r="188" spans="1:1" x14ac:dyDescent="0.3">
      <c r="A188" s="135"/>
    </row>
    <row r="189" spans="1:1" x14ac:dyDescent="0.3">
      <c r="A189" s="135"/>
    </row>
    <row r="190" spans="1:1" x14ac:dyDescent="0.3">
      <c r="A190" s="135"/>
    </row>
    <row r="191" spans="1:1" x14ac:dyDescent="0.3">
      <c r="A191" s="135"/>
    </row>
    <row r="192" spans="1:1" x14ac:dyDescent="0.3">
      <c r="A192" s="135"/>
    </row>
    <row r="193" spans="1:1" x14ac:dyDescent="0.3">
      <c r="A193" s="135"/>
    </row>
    <row r="194" spans="1:1" x14ac:dyDescent="0.3">
      <c r="A194" s="135"/>
    </row>
    <row r="195" spans="1:1" x14ac:dyDescent="0.3">
      <c r="A195" s="135"/>
    </row>
    <row r="196" spans="1:1" x14ac:dyDescent="0.3">
      <c r="A196" s="135"/>
    </row>
    <row r="197" spans="1:1" x14ac:dyDescent="0.3">
      <c r="A197" s="135"/>
    </row>
    <row r="198" spans="1:1" x14ac:dyDescent="0.3">
      <c r="A198" s="135"/>
    </row>
    <row r="199" spans="1:1" x14ac:dyDescent="0.3">
      <c r="A199" s="135"/>
    </row>
    <row r="200" spans="1:1" x14ac:dyDescent="0.3">
      <c r="A200" s="135"/>
    </row>
    <row r="201" spans="1:1" x14ac:dyDescent="0.3">
      <c r="A201" s="135"/>
    </row>
    <row r="202" spans="1:1" x14ac:dyDescent="0.3">
      <c r="A202" s="135"/>
    </row>
    <row r="203" spans="1:1" x14ac:dyDescent="0.3">
      <c r="A203" s="135"/>
    </row>
    <row r="204" spans="1:1" x14ac:dyDescent="0.3">
      <c r="A204" s="135"/>
    </row>
    <row r="205" spans="1:1" x14ac:dyDescent="0.3">
      <c r="A205" s="135"/>
    </row>
    <row r="206" spans="1:1" x14ac:dyDescent="0.3">
      <c r="A206" s="135"/>
    </row>
    <row r="207" spans="1:1" x14ac:dyDescent="0.3">
      <c r="A207" s="135"/>
    </row>
    <row r="208" spans="1:1" x14ac:dyDescent="0.3">
      <c r="A208" s="135"/>
    </row>
    <row r="209" spans="1:1" x14ac:dyDescent="0.3">
      <c r="A209" s="135"/>
    </row>
    <row r="210" spans="1:1" x14ac:dyDescent="0.3">
      <c r="A210" s="135"/>
    </row>
    <row r="211" spans="1:1" x14ac:dyDescent="0.3">
      <c r="A211" s="135"/>
    </row>
    <row r="212" spans="1:1" x14ac:dyDescent="0.3">
      <c r="A212" s="135"/>
    </row>
    <row r="213" spans="1:1" x14ac:dyDescent="0.3">
      <c r="A213" s="135"/>
    </row>
    <row r="214" spans="1:1" x14ac:dyDescent="0.3">
      <c r="A214" s="135"/>
    </row>
    <row r="215" spans="1:1" x14ac:dyDescent="0.3">
      <c r="A215" s="135"/>
    </row>
    <row r="216" spans="1:1" x14ac:dyDescent="0.3">
      <c r="A216" s="135"/>
    </row>
    <row r="217" spans="1:1" x14ac:dyDescent="0.3">
      <c r="A217" s="135"/>
    </row>
    <row r="218" spans="1:1" x14ac:dyDescent="0.3">
      <c r="A218" s="135"/>
    </row>
    <row r="219" spans="1:1" x14ac:dyDescent="0.3">
      <c r="A219" s="135"/>
    </row>
    <row r="220" spans="1:1" x14ac:dyDescent="0.3">
      <c r="A220" s="135"/>
    </row>
    <row r="221" spans="1:1" x14ac:dyDescent="0.3">
      <c r="A221" s="135"/>
    </row>
    <row r="222" spans="1:1" x14ac:dyDescent="0.3">
      <c r="A222" s="135"/>
    </row>
    <row r="223" spans="1:1" x14ac:dyDescent="0.3">
      <c r="A223" s="135"/>
    </row>
    <row r="224" spans="1:1" x14ac:dyDescent="0.3">
      <c r="A224" s="135"/>
    </row>
    <row r="225" spans="1:1" x14ac:dyDescent="0.3">
      <c r="A225" s="135"/>
    </row>
    <row r="226" spans="1:1" x14ac:dyDescent="0.3">
      <c r="A226" s="135"/>
    </row>
    <row r="227" spans="1:1" x14ac:dyDescent="0.3">
      <c r="A227" s="135"/>
    </row>
    <row r="228" spans="1:1" x14ac:dyDescent="0.3">
      <c r="A228" s="135"/>
    </row>
    <row r="229" spans="1:1" x14ac:dyDescent="0.3">
      <c r="A229" s="135"/>
    </row>
    <row r="230" spans="1:1" x14ac:dyDescent="0.3">
      <c r="A230" s="135"/>
    </row>
    <row r="231" spans="1:1" x14ac:dyDescent="0.3">
      <c r="A231" s="135"/>
    </row>
    <row r="232" spans="1:1" x14ac:dyDescent="0.3">
      <c r="A232" s="135"/>
    </row>
    <row r="233" spans="1:1" x14ac:dyDescent="0.3">
      <c r="A233" s="135"/>
    </row>
    <row r="234" spans="1:1" x14ac:dyDescent="0.3">
      <c r="A234" s="135"/>
    </row>
    <row r="235" spans="1:1" x14ac:dyDescent="0.3">
      <c r="A235" s="135"/>
    </row>
    <row r="236" spans="1:1" x14ac:dyDescent="0.3">
      <c r="A236" s="135"/>
    </row>
    <row r="237" spans="1:1" x14ac:dyDescent="0.3">
      <c r="A237" s="135"/>
    </row>
    <row r="238" spans="1:1" x14ac:dyDescent="0.3">
      <c r="A238" s="135"/>
    </row>
    <row r="239" spans="1:1" x14ac:dyDescent="0.3">
      <c r="A239" s="135"/>
    </row>
    <row r="240" spans="1:1" x14ac:dyDescent="0.3">
      <c r="A240" s="135"/>
    </row>
    <row r="241" spans="1:1" x14ac:dyDescent="0.3">
      <c r="A241" s="135"/>
    </row>
    <row r="242" spans="1:1" x14ac:dyDescent="0.3">
      <c r="A242" s="135"/>
    </row>
    <row r="243" spans="1:1" x14ac:dyDescent="0.3">
      <c r="A243" s="135"/>
    </row>
    <row r="244" spans="1:1" x14ac:dyDescent="0.3">
      <c r="A244" s="135"/>
    </row>
    <row r="245" spans="1:1" x14ac:dyDescent="0.3">
      <c r="A245" s="135"/>
    </row>
    <row r="246" spans="1:1" x14ac:dyDescent="0.3">
      <c r="A246" s="135"/>
    </row>
    <row r="247" spans="1:1" x14ac:dyDescent="0.3">
      <c r="A247" s="135"/>
    </row>
    <row r="248" spans="1:1" x14ac:dyDescent="0.3">
      <c r="A248" s="135"/>
    </row>
    <row r="249" spans="1:1" x14ac:dyDescent="0.3">
      <c r="A249" s="135"/>
    </row>
    <row r="250" spans="1:1" x14ac:dyDescent="0.3">
      <c r="A250" s="135"/>
    </row>
    <row r="251" spans="1:1" x14ac:dyDescent="0.3">
      <c r="A251" s="135"/>
    </row>
    <row r="252" spans="1:1" x14ac:dyDescent="0.3">
      <c r="A252" s="135"/>
    </row>
    <row r="253" spans="1:1" x14ac:dyDescent="0.3">
      <c r="A253" s="135"/>
    </row>
    <row r="254" spans="1:1" x14ac:dyDescent="0.3">
      <c r="A254" s="135"/>
    </row>
    <row r="255" spans="1:1" x14ac:dyDescent="0.3">
      <c r="A255" s="135"/>
    </row>
    <row r="256" spans="1:1" x14ac:dyDescent="0.3">
      <c r="A256" s="135"/>
    </row>
    <row r="257" spans="1:1" x14ac:dyDescent="0.3">
      <c r="A257" s="135"/>
    </row>
    <row r="258" spans="1:1" x14ac:dyDescent="0.3">
      <c r="A258" s="135"/>
    </row>
    <row r="259" spans="1:1" x14ac:dyDescent="0.3">
      <c r="A259" s="135"/>
    </row>
    <row r="260" spans="1:1" x14ac:dyDescent="0.3">
      <c r="A260" s="135"/>
    </row>
    <row r="261" spans="1:1" x14ac:dyDescent="0.3">
      <c r="A261" s="135"/>
    </row>
    <row r="262" spans="1:1" x14ac:dyDescent="0.3">
      <c r="A262" s="135"/>
    </row>
    <row r="263" spans="1:1" x14ac:dyDescent="0.3">
      <c r="A263" s="135"/>
    </row>
    <row r="264" spans="1:1" x14ac:dyDescent="0.3">
      <c r="A264" s="135"/>
    </row>
    <row r="265" spans="1:1" x14ac:dyDescent="0.3">
      <c r="A265" s="135"/>
    </row>
    <row r="266" spans="1:1" x14ac:dyDescent="0.3">
      <c r="A266" s="135"/>
    </row>
    <row r="267" spans="1:1" x14ac:dyDescent="0.3">
      <c r="A267" s="135"/>
    </row>
    <row r="268" spans="1:1" x14ac:dyDescent="0.3">
      <c r="A268" s="135"/>
    </row>
    <row r="269" spans="1:1" x14ac:dyDescent="0.3">
      <c r="A269" s="135"/>
    </row>
    <row r="270" spans="1:1" x14ac:dyDescent="0.3">
      <c r="A270" s="135"/>
    </row>
    <row r="271" spans="1:1" x14ac:dyDescent="0.3">
      <c r="A271" s="135"/>
    </row>
    <row r="272" spans="1:1" x14ac:dyDescent="0.3">
      <c r="A272" s="135"/>
    </row>
    <row r="273" spans="1:1" x14ac:dyDescent="0.3">
      <c r="A273" s="135"/>
    </row>
    <row r="274" spans="1:1" x14ac:dyDescent="0.3">
      <c r="A274" s="135"/>
    </row>
    <row r="275" spans="1:1" x14ac:dyDescent="0.3">
      <c r="A275" s="135"/>
    </row>
    <row r="276" spans="1:1" x14ac:dyDescent="0.3">
      <c r="A276" s="135"/>
    </row>
    <row r="277" spans="1:1" x14ac:dyDescent="0.3">
      <c r="A277" s="135"/>
    </row>
    <row r="278" spans="1:1" x14ac:dyDescent="0.3">
      <c r="A278" s="135"/>
    </row>
    <row r="279" spans="1:1" x14ac:dyDescent="0.3">
      <c r="A279" s="135"/>
    </row>
    <row r="280" spans="1:1" x14ac:dyDescent="0.3">
      <c r="A280" s="135"/>
    </row>
    <row r="281" spans="1:1" x14ac:dyDescent="0.3">
      <c r="A281" s="135"/>
    </row>
    <row r="282" spans="1:1" x14ac:dyDescent="0.3">
      <c r="A282" s="135"/>
    </row>
    <row r="283" spans="1:1" x14ac:dyDescent="0.3">
      <c r="A283" s="135"/>
    </row>
    <row r="284" spans="1:1" x14ac:dyDescent="0.3">
      <c r="A284" s="135"/>
    </row>
    <row r="285" spans="1:1" x14ac:dyDescent="0.3">
      <c r="A285" s="135"/>
    </row>
    <row r="286" spans="1:1" x14ac:dyDescent="0.3">
      <c r="A286" s="135"/>
    </row>
    <row r="287" spans="1:1" x14ac:dyDescent="0.3">
      <c r="A287" s="135"/>
    </row>
    <row r="288" spans="1:1" x14ac:dyDescent="0.3">
      <c r="A288" s="135"/>
    </row>
    <row r="289" spans="1:1" x14ac:dyDescent="0.3">
      <c r="A289" s="135"/>
    </row>
    <row r="290" spans="1:1" x14ac:dyDescent="0.3">
      <c r="A290" s="135"/>
    </row>
    <row r="291" spans="1:1" x14ac:dyDescent="0.3">
      <c r="A291" s="135"/>
    </row>
    <row r="292" spans="1:1" x14ac:dyDescent="0.3">
      <c r="A292" s="135"/>
    </row>
    <row r="293" spans="1:1" x14ac:dyDescent="0.3">
      <c r="A293" s="135"/>
    </row>
    <row r="294" spans="1:1" x14ac:dyDescent="0.3">
      <c r="A294" s="135"/>
    </row>
    <row r="295" spans="1:1" x14ac:dyDescent="0.3">
      <c r="A295" s="135"/>
    </row>
    <row r="296" spans="1:1" x14ac:dyDescent="0.3">
      <c r="A296" s="135"/>
    </row>
    <row r="297" spans="1:1" x14ac:dyDescent="0.3">
      <c r="A297" s="135"/>
    </row>
    <row r="298" spans="1:1" x14ac:dyDescent="0.3">
      <c r="A298" s="135"/>
    </row>
    <row r="299" spans="1:1" x14ac:dyDescent="0.3">
      <c r="A299" s="135"/>
    </row>
    <row r="300" spans="1:1" x14ac:dyDescent="0.3">
      <c r="A300" s="135"/>
    </row>
    <row r="301" spans="1:1" x14ac:dyDescent="0.3">
      <c r="A301" s="135"/>
    </row>
    <row r="302" spans="1:1" x14ac:dyDescent="0.3">
      <c r="A302" s="135"/>
    </row>
    <row r="303" spans="1:1" x14ac:dyDescent="0.3">
      <c r="A303" s="135"/>
    </row>
    <row r="304" spans="1:1" x14ac:dyDescent="0.3">
      <c r="A304" s="135"/>
    </row>
    <row r="305" spans="1:1" x14ac:dyDescent="0.3">
      <c r="A305" s="135"/>
    </row>
    <row r="306" spans="1:1" x14ac:dyDescent="0.3">
      <c r="A306" s="135"/>
    </row>
    <row r="307" spans="1:1" x14ac:dyDescent="0.3">
      <c r="A307" s="135"/>
    </row>
    <row r="308" spans="1:1" x14ac:dyDescent="0.3">
      <c r="A308" s="135"/>
    </row>
    <row r="309" spans="1:1" x14ac:dyDescent="0.3">
      <c r="A309" s="135"/>
    </row>
    <row r="310" spans="1:1" x14ac:dyDescent="0.3">
      <c r="A310" s="135"/>
    </row>
    <row r="311" spans="1:1" x14ac:dyDescent="0.3">
      <c r="A311" s="135"/>
    </row>
    <row r="312" spans="1:1" x14ac:dyDescent="0.3">
      <c r="A312" s="135"/>
    </row>
    <row r="313" spans="1:1" x14ac:dyDescent="0.3">
      <c r="A313" s="135"/>
    </row>
    <row r="314" spans="1:1" x14ac:dyDescent="0.3">
      <c r="A314" s="135"/>
    </row>
    <row r="315" spans="1:1" x14ac:dyDescent="0.3">
      <c r="A315" s="135"/>
    </row>
    <row r="316" spans="1:1" x14ac:dyDescent="0.3">
      <c r="A316" s="135"/>
    </row>
    <row r="317" spans="1:1" x14ac:dyDescent="0.3">
      <c r="A317" s="135"/>
    </row>
    <row r="318" spans="1:1" x14ac:dyDescent="0.3">
      <c r="A318" s="135"/>
    </row>
    <row r="319" spans="1:1" x14ac:dyDescent="0.3">
      <c r="A319" s="135"/>
    </row>
    <row r="320" spans="1:1" x14ac:dyDescent="0.3">
      <c r="A320" s="135"/>
    </row>
    <row r="321" spans="1:1" x14ac:dyDescent="0.3">
      <c r="A321" s="135"/>
    </row>
    <row r="322" spans="1:1" x14ac:dyDescent="0.3">
      <c r="A322" s="135"/>
    </row>
    <row r="323" spans="1:1" x14ac:dyDescent="0.3">
      <c r="A323" s="135"/>
    </row>
    <row r="324" spans="1:1" x14ac:dyDescent="0.3">
      <c r="A324" s="135"/>
    </row>
    <row r="325" spans="1:1" x14ac:dyDescent="0.3">
      <c r="A325" s="135"/>
    </row>
    <row r="326" spans="1:1" x14ac:dyDescent="0.3">
      <c r="A326" s="135"/>
    </row>
    <row r="327" spans="1:1" x14ac:dyDescent="0.3">
      <c r="A327" s="135"/>
    </row>
    <row r="328" spans="1:1" x14ac:dyDescent="0.3">
      <c r="A328" s="135"/>
    </row>
    <row r="329" spans="1:1" x14ac:dyDescent="0.3">
      <c r="A329" s="135"/>
    </row>
    <row r="330" spans="1:1" x14ac:dyDescent="0.3">
      <c r="A330" s="135"/>
    </row>
    <row r="331" spans="1:1" x14ac:dyDescent="0.3">
      <c r="A331" s="135"/>
    </row>
    <row r="332" spans="1:1" x14ac:dyDescent="0.3">
      <c r="A332" s="135"/>
    </row>
    <row r="333" spans="1:1" x14ac:dyDescent="0.3">
      <c r="A333" s="135"/>
    </row>
    <row r="334" spans="1:1" x14ac:dyDescent="0.3">
      <c r="A334" s="135"/>
    </row>
    <row r="335" spans="1:1" x14ac:dyDescent="0.3">
      <c r="A335" s="135"/>
    </row>
    <row r="336" spans="1:1" x14ac:dyDescent="0.3">
      <c r="A336" s="135"/>
    </row>
    <row r="337" spans="1:1" x14ac:dyDescent="0.3">
      <c r="A337" s="135"/>
    </row>
    <row r="338" spans="1:1" x14ac:dyDescent="0.3">
      <c r="A338" s="135"/>
    </row>
    <row r="339" spans="1:1" x14ac:dyDescent="0.3">
      <c r="A339" s="135"/>
    </row>
    <row r="340" spans="1:1" x14ac:dyDescent="0.3">
      <c r="A340" s="135"/>
    </row>
    <row r="341" spans="1:1" x14ac:dyDescent="0.3">
      <c r="A341" s="135"/>
    </row>
    <row r="342" spans="1:1" x14ac:dyDescent="0.3">
      <c r="A342" s="135"/>
    </row>
    <row r="343" spans="1:1" x14ac:dyDescent="0.3">
      <c r="A343" s="135"/>
    </row>
    <row r="344" spans="1:1" x14ac:dyDescent="0.3">
      <c r="A344" s="135"/>
    </row>
    <row r="345" spans="1:1" x14ac:dyDescent="0.3">
      <c r="A345" s="135"/>
    </row>
    <row r="346" spans="1:1" x14ac:dyDescent="0.3">
      <c r="A346" s="135"/>
    </row>
    <row r="347" spans="1:1" x14ac:dyDescent="0.3">
      <c r="A347" s="135"/>
    </row>
    <row r="348" spans="1:1" x14ac:dyDescent="0.3">
      <c r="A348" s="135"/>
    </row>
    <row r="349" spans="1:1" x14ac:dyDescent="0.3">
      <c r="A349" s="135"/>
    </row>
    <row r="350" spans="1:1" x14ac:dyDescent="0.3">
      <c r="A350" s="135"/>
    </row>
    <row r="351" spans="1:1" x14ac:dyDescent="0.3">
      <c r="A351" s="135"/>
    </row>
    <row r="352" spans="1:1" x14ac:dyDescent="0.3">
      <c r="A352" s="135"/>
    </row>
    <row r="353" spans="1:1" x14ac:dyDescent="0.3">
      <c r="A353" s="135"/>
    </row>
    <row r="354" spans="1:1" x14ac:dyDescent="0.3">
      <c r="A354" s="135"/>
    </row>
    <row r="355" spans="1:1" x14ac:dyDescent="0.3">
      <c r="A355" s="135"/>
    </row>
    <row r="356" spans="1:1" x14ac:dyDescent="0.3">
      <c r="A356" s="135"/>
    </row>
    <row r="357" spans="1:1" x14ac:dyDescent="0.3">
      <c r="A357" s="135"/>
    </row>
    <row r="358" spans="1:1" x14ac:dyDescent="0.3">
      <c r="A358" s="135"/>
    </row>
    <row r="359" spans="1:1" x14ac:dyDescent="0.3">
      <c r="A359" s="135"/>
    </row>
    <row r="360" spans="1:1" x14ac:dyDescent="0.3">
      <c r="A360" s="135"/>
    </row>
    <row r="361" spans="1:1" x14ac:dyDescent="0.3">
      <c r="A361" s="135"/>
    </row>
    <row r="362" spans="1:1" x14ac:dyDescent="0.3">
      <c r="A362" s="135"/>
    </row>
    <row r="363" spans="1:1" x14ac:dyDescent="0.3">
      <c r="A363" s="135"/>
    </row>
    <row r="364" spans="1:1" x14ac:dyDescent="0.3">
      <c r="A364" s="135"/>
    </row>
    <row r="365" spans="1:1" x14ac:dyDescent="0.3">
      <c r="A365" s="135"/>
    </row>
    <row r="366" spans="1:1" x14ac:dyDescent="0.3">
      <c r="A366" s="135"/>
    </row>
    <row r="367" spans="1:1" x14ac:dyDescent="0.3">
      <c r="A367" s="135"/>
    </row>
    <row r="368" spans="1:1" x14ac:dyDescent="0.3">
      <c r="A368" s="135"/>
    </row>
    <row r="369" spans="1:1" x14ac:dyDescent="0.3">
      <c r="A369" s="135"/>
    </row>
    <row r="370" spans="1:1" x14ac:dyDescent="0.3">
      <c r="A370" s="135"/>
    </row>
    <row r="371" spans="1:1" x14ac:dyDescent="0.3">
      <c r="A371" s="135"/>
    </row>
    <row r="372" spans="1:1" x14ac:dyDescent="0.3">
      <c r="A372" s="135"/>
    </row>
    <row r="373" spans="1:1" x14ac:dyDescent="0.3">
      <c r="A373" s="135"/>
    </row>
    <row r="374" spans="1:1" x14ac:dyDescent="0.3">
      <c r="A374" s="135"/>
    </row>
    <row r="375" spans="1:1" x14ac:dyDescent="0.3">
      <c r="A375" s="135"/>
    </row>
    <row r="376" spans="1:1" x14ac:dyDescent="0.3">
      <c r="A376" s="135"/>
    </row>
    <row r="377" spans="1:1" x14ac:dyDescent="0.3">
      <c r="A377" s="135"/>
    </row>
    <row r="378" spans="1:1" x14ac:dyDescent="0.3">
      <c r="A378" s="135"/>
    </row>
    <row r="379" spans="1:1" x14ac:dyDescent="0.3">
      <c r="A379" s="135"/>
    </row>
    <row r="380" spans="1:1" x14ac:dyDescent="0.3">
      <c r="A380" s="135"/>
    </row>
    <row r="381" spans="1:1" x14ac:dyDescent="0.3">
      <c r="A381" s="135"/>
    </row>
    <row r="382" spans="1:1" x14ac:dyDescent="0.3">
      <c r="A382" s="135"/>
    </row>
    <row r="383" spans="1:1" x14ac:dyDescent="0.3">
      <c r="A383" s="135"/>
    </row>
    <row r="384" spans="1:1" x14ac:dyDescent="0.3">
      <c r="A384" s="135"/>
    </row>
    <row r="385" spans="1:1" x14ac:dyDescent="0.3">
      <c r="A385" s="135"/>
    </row>
    <row r="386" spans="1:1" x14ac:dyDescent="0.3">
      <c r="A386" s="135"/>
    </row>
    <row r="387" spans="1:1" x14ac:dyDescent="0.3">
      <c r="A387" s="135"/>
    </row>
    <row r="388" spans="1:1" x14ac:dyDescent="0.3">
      <c r="A388" s="135"/>
    </row>
    <row r="389" spans="1:1" x14ac:dyDescent="0.3">
      <c r="A389" s="135"/>
    </row>
    <row r="390" spans="1:1" x14ac:dyDescent="0.3">
      <c r="A390" s="135"/>
    </row>
    <row r="391" spans="1:1" x14ac:dyDescent="0.3">
      <c r="A391" s="135"/>
    </row>
    <row r="392" spans="1:1" x14ac:dyDescent="0.3">
      <c r="A392" s="135"/>
    </row>
    <row r="393" spans="1:1" x14ac:dyDescent="0.3">
      <c r="A393" s="135"/>
    </row>
    <row r="394" spans="1:1" x14ac:dyDescent="0.3">
      <c r="A394" s="135"/>
    </row>
    <row r="395" spans="1:1" x14ac:dyDescent="0.3">
      <c r="A395" s="135"/>
    </row>
    <row r="396" spans="1:1" x14ac:dyDescent="0.3">
      <c r="A396" s="135"/>
    </row>
    <row r="397" spans="1:1" x14ac:dyDescent="0.3">
      <c r="A397" s="135"/>
    </row>
    <row r="398" spans="1:1" x14ac:dyDescent="0.3">
      <c r="A398" s="135"/>
    </row>
    <row r="399" spans="1:1" x14ac:dyDescent="0.3">
      <c r="A399" s="135"/>
    </row>
    <row r="400" spans="1:1" x14ac:dyDescent="0.3">
      <c r="A400" s="135"/>
    </row>
    <row r="401" spans="1:1" x14ac:dyDescent="0.3">
      <c r="A401" s="135"/>
    </row>
    <row r="402" spans="1:1" x14ac:dyDescent="0.3">
      <c r="A402" s="135"/>
    </row>
    <row r="403" spans="1:1" x14ac:dyDescent="0.3">
      <c r="A403" s="135"/>
    </row>
    <row r="404" spans="1:1" x14ac:dyDescent="0.3">
      <c r="A404" s="135"/>
    </row>
    <row r="405" spans="1:1" x14ac:dyDescent="0.3">
      <c r="A405" s="135"/>
    </row>
    <row r="406" spans="1:1" x14ac:dyDescent="0.3">
      <c r="A406" s="135"/>
    </row>
    <row r="407" spans="1:1" x14ac:dyDescent="0.3">
      <c r="A407" s="135"/>
    </row>
    <row r="408" spans="1:1" x14ac:dyDescent="0.3">
      <c r="A408" s="135"/>
    </row>
    <row r="409" spans="1:1" x14ac:dyDescent="0.3">
      <c r="A409" s="135"/>
    </row>
    <row r="410" spans="1:1" x14ac:dyDescent="0.3">
      <c r="A410" s="135"/>
    </row>
    <row r="411" spans="1:1" x14ac:dyDescent="0.3">
      <c r="A411" s="135"/>
    </row>
    <row r="412" spans="1:1" x14ac:dyDescent="0.3">
      <c r="A412" s="135"/>
    </row>
    <row r="413" spans="1:1" x14ac:dyDescent="0.3">
      <c r="A413" s="135"/>
    </row>
    <row r="414" spans="1:1" x14ac:dyDescent="0.3">
      <c r="A414" s="135"/>
    </row>
    <row r="415" spans="1:1" x14ac:dyDescent="0.3">
      <c r="A415" s="135"/>
    </row>
    <row r="416" spans="1:1" x14ac:dyDescent="0.3">
      <c r="A416" s="135"/>
    </row>
    <row r="417" spans="1:1" x14ac:dyDescent="0.3">
      <c r="A417" s="135"/>
    </row>
    <row r="418" spans="1:1" x14ac:dyDescent="0.3">
      <c r="A418" s="135"/>
    </row>
    <row r="419" spans="1:1" x14ac:dyDescent="0.3">
      <c r="A419" s="135"/>
    </row>
    <row r="420" spans="1:1" x14ac:dyDescent="0.3">
      <c r="A420" s="135"/>
    </row>
    <row r="421" spans="1:1" x14ac:dyDescent="0.3">
      <c r="A421" s="135"/>
    </row>
    <row r="422" spans="1:1" x14ac:dyDescent="0.3">
      <c r="A422" s="135"/>
    </row>
    <row r="423" spans="1:1" x14ac:dyDescent="0.3">
      <c r="A423" s="135"/>
    </row>
    <row r="424" spans="1:1" x14ac:dyDescent="0.3">
      <c r="A424" s="135"/>
    </row>
    <row r="425" spans="1:1" x14ac:dyDescent="0.3">
      <c r="A425" s="135"/>
    </row>
    <row r="426" spans="1:1" x14ac:dyDescent="0.3">
      <c r="A426" s="135"/>
    </row>
    <row r="427" spans="1:1" x14ac:dyDescent="0.3">
      <c r="A427" s="135"/>
    </row>
    <row r="428" spans="1:1" x14ac:dyDescent="0.3">
      <c r="A428" s="135"/>
    </row>
    <row r="429" spans="1:1" x14ac:dyDescent="0.3">
      <c r="A429" s="135"/>
    </row>
    <row r="430" spans="1:1" x14ac:dyDescent="0.3">
      <c r="A430" s="135"/>
    </row>
    <row r="431" spans="1:1" x14ac:dyDescent="0.3">
      <c r="A431" s="135"/>
    </row>
    <row r="432" spans="1:1" x14ac:dyDescent="0.3">
      <c r="A432" s="135"/>
    </row>
    <row r="433" spans="1:1" x14ac:dyDescent="0.3">
      <c r="A433" s="135"/>
    </row>
    <row r="434" spans="1:1" x14ac:dyDescent="0.3">
      <c r="A434" s="135"/>
    </row>
    <row r="435" spans="1:1" x14ac:dyDescent="0.3">
      <c r="A435" s="135"/>
    </row>
    <row r="436" spans="1:1" x14ac:dyDescent="0.3">
      <c r="A436" s="135"/>
    </row>
    <row r="437" spans="1:1" x14ac:dyDescent="0.3">
      <c r="A437" s="135"/>
    </row>
    <row r="438" spans="1:1" x14ac:dyDescent="0.3">
      <c r="A438" s="135"/>
    </row>
    <row r="439" spans="1:1" x14ac:dyDescent="0.3">
      <c r="A439" s="135"/>
    </row>
    <row r="440" spans="1:1" x14ac:dyDescent="0.3">
      <c r="A440" s="135"/>
    </row>
    <row r="441" spans="1:1" x14ac:dyDescent="0.3">
      <c r="A441" s="135"/>
    </row>
    <row r="442" spans="1:1" x14ac:dyDescent="0.3">
      <c r="A442" s="135"/>
    </row>
    <row r="443" spans="1:1" x14ac:dyDescent="0.3">
      <c r="A443" s="135"/>
    </row>
    <row r="444" spans="1:1" x14ac:dyDescent="0.3">
      <c r="A444" s="135"/>
    </row>
    <row r="445" spans="1:1" x14ac:dyDescent="0.3">
      <c r="A445" s="135"/>
    </row>
    <row r="446" spans="1:1" x14ac:dyDescent="0.3">
      <c r="A446" s="135"/>
    </row>
    <row r="447" spans="1:1" x14ac:dyDescent="0.3">
      <c r="A447" s="135"/>
    </row>
    <row r="448" spans="1:1" x14ac:dyDescent="0.3">
      <c r="A448" s="135"/>
    </row>
    <row r="449" spans="1:1" x14ac:dyDescent="0.3">
      <c r="A449" s="135"/>
    </row>
    <row r="450" spans="1:1" x14ac:dyDescent="0.3">
      <c r="A450" s="135"/>
    </row>
    <row r="451" spans="1:1" x14ac:dyDescent="0.3">
      <c r="A451" s="135"/>
    </row>
    <row r="452" spans="1:1" x14ac:dyDescent="0.3">
      <c r="A452" s="135"/>
    </row>
    <row r="453" spans="1:1" x14ac:dyDescent="0.3">
      <c r="A453" s="135"/>
    </row>
    <row r="454" spans="1:1" x14ac:dyDescent="0.3">
      <c r="A454" s="135"/>
    </row>
    <row r="455" spans="1:1" x14ac:dyDescent="0.3">
      <c r="A455" s="135"/>
    </row>
    <row r="456" spans="1:1" x14ac:dyDescent="0.3">
      <c r="A456" s="135"/>
    </row>
    <row r="457" spans="1:1" x14ac:dyDescent="0.3">
      <c r="A457" s="135"/>
    </row>
    <row r="458" spans="1:1" x14ac:dyDescent="0.3">
      <c r="A458" s="135"/>
    </row>
    <row r="459" spans="1:1" x14ac:dyDescent="0.3">
      <c r="A459" s="135"/>
    </row>
    <row r="460" spans="1:1" x14ac:dyDescent="0.3">
      <c r="A460" s="135"/>
    </row>
    <row r="461" spans="1:1" x14ac:dyDescent="0.3">
      <c r="A461" s="135"/>
    </row>
    <row r="462" spans="1:1" x14ac:dyDescent="0.3">
      <c r="A462" s="135"/>
    </row>
    <row r="463" spans="1:1" x14ac:dyDescent="0.3">
      <c r="A463" s="135"/>
    </row>
    <row r="464" spans="1:1" x14ac:dyDescent="0.3">
      <c r="A464" s="135"/>
    </row>
    <row r="465" spans="1:1" x14ac:dyDescent="0.3">
      <c r="A465" s="135"/>
    </row>
    <row r="466" spans="1:1" x14ac:dyDescent="0.3">
      <c r="A466" s="135"/>
    </row>
    <row r="467" spans="1:1" x14ac:dyDescent="0.3">
      <c r="A467" s="135"/>
    </row>
    <row r="468" spans="1:1" x14ac:dyDescent="0.3">
      <c r="A468" s="135"/>
    </row>
    <row r="469" spans="1:1" x14ac:dyDescent="0.3">
      <c r="A469" s="135"/>
    </row>
    <row r="470" spans="1:1" x14ac:dyDescent="0.3">
      <c r="A470" s="135"/>
    </row>
    <row r="471" spans="1:1" x14ac:dyDescent="0.3">
      <c r="A471" s="135"/>
    </row>
    <row r="472" spans="1:1" x14ac:dyDescent="0.3">
      <c r="A472" s="135"/>
    </row>
    <row r="473" spans="1:1" x14ac:dyDescent="0.3">
      <c r="A473" s="135"/>
    </row>
    <row r="474" spans="1:1" x14ac:dyDescent="0.3">
      <c r="A474" s="135"/>
    </row>
    <row r="475" spans="1:1" x14ac:dyDescent="0.3">
      <c r="A475" s="135"/>
    </row>
    <row r="476" spans="1:1" x14ac:dyDescent="0.3">
      <c r="A476" s="135"/>
    </row>
    <row r="477" spans="1:1" x14ac:dyDescent="0.3">
      <c r="A477" s="135"/>
    </row>
    <row r="478" spans="1:1" x14ac:dyDescent="0.3">
      <c r="A478" s="135"/>
    </row>
    <row r="479" spans="1:1" x14ac:dyDescent="0.3">
      <c r="A479" s="135"/>
    </row>
    <row r="480" spans="1:1" x14ac:dyDescent="0.3">
      <c r="A480" s="135"/>
    </row>
    <row r="481" spans="1:1" x14ac:dyDescent="0.3">
      <c r="A481" s="135"/>
    </row>
    <row r="482" spans="1:1" x14ac:dyDescent="0.3">
      <c r="A482" s="135"/>
    </row>
    <row r="483" spans="1:1" x14ac:dyDescent="0.3">
      <c r="A483" s="135"/>
    </row>
    <row r="484" spans="1:1" x14ac:dyDescent="0.3">
      <c r="A484" s="135"/>
    </row>
    <row r="485" spans="1:1" x14ac:dyDescent="0.3">
      <c r="A485" s="135"/>
    </row>
    <row r="486" spans="1:1" x14ac:dyDescent="0.3">
      <c r="A486" s="135"/>
    </row>
    <row r="487" spans="1:1" x14ac:dyDescent="0.3">
      <c r="A487" s="135"/>
    </row>
    <row r="488" spans="1:1" x14ac:dyDescent="0.3">
      <c r="A488" s="135"/>
    </row>
    <row r="489" spans="1:1" x14ac:dyDescent="0.3">
      <c r="A489" s="135"/>
    </row>
    <row r="490" spans="1:1" x14ac:dyDescent="0.3">
      <c r="A490" s="135"/>
    </row>
    <row r="491" spans="1:1" x14ac:dyDescent="0.3">
      <c r="A491" s="135"/>
    </row>
    <row r="492" spans="1:1" x14ac:dyDescent="0.3">
      <c r="A492" s="135"/>
    </row>
    <row r="493" spans="1:1" x14ac:dyDescent="0.3">
      <c r="A493" s="135"/>
    </row>
    <row r="494" spans="1:1" x14ac:dyDescent="0.3">
      <c r="A494" s="135"/>
    </row>
    <row r="495" spans="1:1" x14ac:dyDescent="0.3">
      <c r="A495" s="135"/>
    </row>
    <row r="496" spans="1:1" x14ac:dyDescent="0.3">
      <c r="A496" s="135"/>
    </row>
  </sheetData>
  <sheetProtection algorithmName="SHA-512" hashValue="eLvw3hRqTZAnXLKf5Xlf6fy+B9g6XuTAB4swSpFIQhRvkGA+ZQNKbfhHG4VqSvJ5LvnbBBktAdyAU9EPgKuG6Q==" saltValue="BDk9VXhBwp79eR6Q+Cah7Q=="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86"/>
  <sheetViews>
    <sheetView workbookViewId="0">
      <selection activeCell="I23" sqref="I23"/>
    </sheetView>
  </sheetViews>
  <sheetFormatPr defaultRowHeight="15" x14ac:dyDescent="0.25"/>
  <cols>
    <col min="2" max="2" width="13.5703125" bestFit="1" customWidth="1"/>
    <col min="3" max="3" width="9.42578125" bestFit="1" customWidth="1"/>
    <col min="4" max="4" width="6.28515625" bestFit="1" customWidth="1"/>
    <col min="5" max="5" width="17.5703125" bestFit="1" customWidth="1"/>
    <col min="6" max="6" width="25.7109375" bestFit="1" customWidth="1"/>
    <col min="7" max="7" width="4.42578125" bestFit="1" customWidth="1"/>
    <col min="8" max="8" width="13.5703125" bestFit="1" customWidth="1"/>
    <col min="9" max="9" width="67.5703125" bestFit="1" customWidth="1"/>
    <col min="10" max="10" width="84.7109375" bestFit="1" customWidth="1"/>
  </cols>
  <sheetData>
    <row r="1" spans="1:10" x14ac:dyDescent="0.25">
      <c r="A1" s="28" t="s">
        <v>1314</v>
      </c>
      <c r="B1" s="28"/>
      <c r="C1" s="28"/>
      <c r="D1" s="28"/>
      <c r="E1" s="28"/>
      <c r="F1" s="29" t="s">
        <v>1318</v>
      </c>
      <c r="G1" s="28"/>
      <c r="H1" s="28"/>
      <c r="I1" s="28"/>
      <c r="J1" s="28"/>
    </row>
    <row r="2" spans="1:10" x14ac:dyDescent="0.25">
      <c r="A2" s="28" t="s">
        <v>1313</v>
      </c>
      <c r="B2" s="28"/>
      <c r="C2" s="28"/>
      <c r="D2" s="28"/>
      <c r="E2" s="28"/>
      <c r="F2" s="29" t="s">
        <v>1319</v>
      </c>
      <c r="G2" s="28"/>
      <c r="H2" s="28"/>
      <c r="I2" s="28"/>
      <c r="J2" s="28"/>
    </row>
    <row r="3" spans="1:10" ht="60" x14ac:dyDescent="0.25">
      <c r="A3" s="30" t="s">
        <v>1320</v>
      </c>
      <c r="B3" s="30" t="s">
        <v>1321</v>
      </c>
      <c r="C3" s="30" t="s">
        <v>1322</v>
      </c>
      <c r="D3" s="30"/>
      <c r="E3" s="30" t="s">
        <v>1323</v>
      </c>
      <c r="F3" s="31" t="s">
        <v>1324</v>
      </c>
      <c r="G3" s="31" t="s">
        <v>1325</v>
      </c>
      <c r="H3" s="30" t="s">
        <v>1289</v>
      </c>
      <c r="I3" s="30" t="s">
        <v>1305</v>
      </c>
      <c r="J3" s="30" t="s">
        <v>1306</v>
      </c>
    </row>
    <row r="4" spans="1:10" x14ac:dyDescent="0.25">
      <c r="A4" s="28" t="s">
        <v>7</v>
      </c>
      <c r="B4" s="28" t="s">
        <v>1326</v>
      </c>
      <c r="C4" s="29" t="s">
        <v>1327</v>
      </c>
      <c r="D4" s="29" t="s">
        <v>1328</v>
      </c>
      <c r="E4" s="29" t="s">
        <v>1329</v>
      </c>
      <c r="F4" s="29">
        <v>1</v>
      </c>
      <c r="G4" s="29">
        <v>5</v>
      </c>
      <c r="H4" s="28" t="s">
        <v>1297</v>
      </c>
      <c r="I4" s="28" t="s">
        <v>1309</v>
      </c>
      <c r="J4" s="28" t="s">
        <v>1330</v>
      </c>
    </row>
    <row r="5" spans="1:10" x14ac:dyDescent="0.25">
      <c r="A5" s="28" t="s">
        <v>520</v>
      </c>
      <c r="B5" s="28" t="s">
        <v>1331</v>
      </c>
      <c r="C5" s="29">
        <v>82</v>
      </c>
      <c r="D5" s="28"/>
      <c r="E5" s="29" t="s">
        <v>1329</v>
      </c>
      <c r="F5" s="28"/>
      <c r="G5" s="28"/>
      <c r="H5" s="28" t="s">
        <v>1297</v>
      </c>
      <c r="I5" s="28" t="s">
        <v>1309</v>
      </c>
      <c r="J5" s="28" t="s">
        <v>1330</v>
      </c>
    </row>
    <row r="6" spans="1:10" x14ac:dyDescent="0.25">
      <c r="A6" s="28" t="s">
        <v>490</v>
      </c>
      <c r="B6" s="28" t="s">
        <v>1332</v>
      </c>
      <c r="C6" s="29">
        <v>82</v>
      </c>
      <c r="D6" s="28"/>
      <c r="E6" s="29" t="s">
        <v>1329</v>
      </c>
      <c r="F6" s="28"/>
      <c r="G6" s="28"/>
      <c r="H6" s="28" t="s">
        <v>1297</v>
      </c>
      <c r="I6" s="28" t="s">
        <v>1309</v>
      </c>
      <c r="J6" s="28" t="s">
        <v>1330</v>
      </c>
    </row>
    <row r="7" spans="1:10" x14ac:dyDescent="0.25">
      <c r="A7" s="28" t="s">
        <v>500</v>
      </c>
      <c r="B7" s="28" t="s">
        <v>1333</v>
      </c>
      <c r="C7" s="29">
        <v>82</v>
      </c>
      <c r="D7" s="28"/>
      <c r="E7" s="29" t="s">
        <v>1329</v>
      </c>
      <c r="F7" s="28"/>
      <c r="G7" s="28"/>
      <c r="H7" s="28" t="s">
        <v>1297</v>
      </c>
      <c r="I7" s="28" t="s">
        <v>1309</v>
      </c>
      <c r="J7" s="28" t="s">
        <v>1330</v>
      </c>
    </row>
    <row r="8" spans="1:10" x14ac:dyDescent="0.25">
      <c r="A8" s="28" t="s">
        <v>524</v>
      </c>
      <c r="B8" s="28" t="s">
        <v>1334</v>
      </c>
      <c r="C8" s="29">
        <v>82</v>
      </c>
      <c r="D8" s="28"/>
      <c r="E8" s="29" t="s">
        <v>1329</v>
      </c>
      <c r="F8" s="28"/>
      <c r="G8" s="28"/>
      <c r="H8" s="28" t="s">
        <v>1297</v>
      </c>
      <c r="I8" s="28" t="s">
        <v>1309</v>
      </c>
      <c r="J8" s="28" t="s">
        <v>1330</v>
      </c>
    </row>
    <row r="9" spans="1:10" x14ac:dyDescent="0.25">
      <c r="A9" s="28" t="s">
        <v>546</v>
      </c>
      <c r="B9" s="28" t="s">
        <v>1335</v>
      </c>
      <c r="C9" s="29" t="s">
        <v>1327</v>
      </c>
      <c r="D9" s="29" t="s">
        <v>1328</v>
      </c>
      <c r="E9" s="29" t="s">
        <v>1329</v>
      </c>
      <c r="F9" s="28"/>
      <c r="G9" s="28"/>
      <c r="H9" s="28" t="s">
        <v>1297</v>
      </c>
      <c r="I9" s="28" t="s">
        <v>1309</v>
      </c>
      <c r="J9" s="28" t="s">
        <v>1330</v>
      </c>
    </row>
    <row r="10" spans="1:10" x14ac:dyDescent="0.25">
      <c r="A10" s="28" t="s">
        <v>550</v>
      </c>
      <c r="B10" s="28" t="s">
        <v>1336</v>
      </c>
      <c r="C10" s="29">
        <v>82</v>
      </c>
      <c r="D10" s="28"/>
      <c r="E10" s="29" t="s">
        <v>1329</v>
      </c>
      <c r="F10" s="29">
        <v>1</v>
      </c>
      <c r="G10" s="29">
        <v>3</v>
      </c>
      <c r="H10" s="28" t="s">
        <v>1297</v>
      </c>
      <c r="I10" s="28" t="s">
        <v>1309</v>
      </c>
      <c r="J10" s="28" t="s">
        <v>1330</v>
      </c>
    </row>
    <row r="11" spans="1:10" x14ac:dyDescent="0.25">
      <c r="A11" s="28" t="s">
        <v>502</v>
      </c>
      <c r="B11" s="28" t="s">
        <v>1337</v>
      </c>
      <c r="C11" s="29">
        <v>82</v>
      </c>
      <c r="D11" s="28"/>
      <c r="E11" s="29" t="s">
        <v>1329</v>
      </c>
      <c r="F11" s="28"/>
      <c r="G11" s="28"/>
      <c r="H11" s="28" t="s">
        <v>1297</v>
      </c>
      <c r="I11" s="28" t="s">
        <v>1309</v>
      </c>
      <c r="J11" s="28" t="s">
        <v>1330</v>
      </c>
    </row>
    <row r="12" spans="1:10" x14ac:dyDescent="0.25">
      <c r="A12" s="28" t="s">
        <v>536</v>
      </c>
      <c r="B12" s="28" t="s">
        <v>1338</v>
      </c>
      <c r="C12" s="29">
        <v>82</v>
      </c>
      <c r="D12" s="28"/>
      <c r="E12" s="29" t="s">
        <v>1329</v>
      </c>
      <c r="F12" s="28"/>
      <c r="G12" s="28"/>
      <c r="H12" s="28" t="s">
        <v>1297</v>
      </c>
      <c r="I12" s="28" t="s">
        <v>1309</v>
      </c>
      <c r="J12" s="28" t="s">
        <v>1330</v>
      </c>
    </row>
    <row r="13" spans="1:10" x14ac:dyDescent="0.25">
      <c r="A13" s="28" t="s">
        <v>556</v>
      </c>
      <c r="B13" s="28" t="s">
        <v>1339</v>
      </c>
      <c r="C13" s="29">
        <v>82</v>
      </c>
      <c r="D13" s="28"/>
      <c r="E13" s="29" t="s">
        <v>1329</v>
      </c>
      <c r="F13" s="28"/>
      <c r="G13" s="28"/>
      <c r="H13" s="28" t="s">
        <v>1297</v>
      </c>
      <c r="I13" s="28" t="s">
        <v>1309</v>
      </c>
      <c r="J13" s="28" t="s">
        <v>1330</v>
      </c>
    </row>
    <row r="14" spans="1:10" x14ac:dyDescent="0.25">
      <c r="A14" s="28" t="s">
        <v>540</v>
      </c>
      <c r="B14" s="28" t="s">
        <v>1340</v>
      </c>
      <c r="C14" s="29">
        <v>82</v>
      </c>
      <c r="D14" s="28"/>
      <c r="E14" s="29" t="s">
        <v>1329</v>
      </c>
      <c r="F14" s="28"/>
      <c r="G14" s="28"/>
      <c r="H14" s="28" t="s">
        <v>1297</v>
      </c>
      <c r="I14" s="28" t="s">
        <v>1309</v>
      </c>
      <c r="J14" s="28" t="s">
        <v>1330</v>
      </c>
    </row>
    <row r="15" spans="1:10" x14ac:dyDescent="0.25">
      <c r="A15" s="28" t="s">
        <v>492</v>
      </c>
      <c r="B15" s="28" t="s">
        <v>1341</v>
      </c>
      <c r="C15" s="29">
        <v>82</v>
      </c>
      <c r="D15" s="28"/>
      <c r="E15" s="29" t="s">
        <v>1329</v>
      </c>
      <c r="F15" s="28"/>
      <c r="G15" s="28"/>
      <c r="H15" s="28" t="s">
        <v>1297</v>
      </c>
      <c r="I15" s="28" t="s">
        <v>1309</v>
      </c>
      <c r="J15" s="28" t="s">
        <v>1330</v>
      </c>
    </row>
    <row r="16" spans="1:10" x14ac:dyDescent="0.25">
      <c r="A16" s="28" t="s">
        <v>518</v>
      </c>
      <c r="B16" s="28" t="s">
        <v>1342</v>
      </c>
      <c r="C16" s="29">
        <v>82</v>
      </c>
      <c r="D16" s="28"/>
      <c r="E16" s="29" t="s">
        <v>1329</v>
      </c>
      <c r="F16" s="28"/>
      <c r="G16" s="28"/>
      <c r="H16" s="28" t="s">
        <v>1297</v>
      </c>
      <c r="I16" s="28" t="s">
        <v>1309</v>
      </c>
      <c r="J16" s="28" t="s">
        <v>1330</v>
      </c>
    </row>
    <row r="17" spans="1:10" x14ac:dyDescent="0.25">
      <c r="A17" s="28" t="s">
        <v>560</v>
      </c>
      <c r="B17" s="28" t="s">
        <v>1343</v>
      </c>
      <c r="C17" s="29" t="s">
        <v>1327</v>
      </c>
      <c r="D17" s="29" t="s">
        <v>1328</v>
      </c>
      <c r="E17" s="29" t="s">
        <v>1329</v>
      </c>
      <c r="F17" s="28"/>
      <c r="G17" s="28"/>
      <c r="H17" s="28" t="s">
        <v>1297</v>
      </c>
      <c r="I17" s="28" t="s">
        <v>1309</v>
      </c>
      <c r="J17" s="28" t="s">
        <v>1330</v>
      </c>
    </row>
    <row r="18" spans="1:10" x14ac:dyDescent="0.25">
      <c r="A18" s="28" t="s">
        <v>510</v>
      </c>
      <c r="B18" s="28" t="s">
        <v>1344</v>
      </c>
      <c r="C18" s="29" t="s">
        <v>1327</v>
      </c>
      <c r="D18" s="29" t="s">
        <v>1328</v>
      </c>
      <c r="E18" s="29" t="s">
        <v>1329</v>
      </c>
      <c r="F18" s="28"/>
      <c r="G18" s="28"/>
      <c r="H18" s="28" t="s">
        <v>1297</v>
      </c>
      <c r="I18" s="28" t="s">
        <v>1309</v>
      </c>
      <c r="J18" s="28" t="s">
        <v>1330</v>
      </c>
    </row>
    <row r="19" spans="1:10" x14ac:dyDescent="0.25">
      <c r="A19" s="28" t="s">
        <v>554</v>
      </c>
      <c r="B19" s="28" t="s">
        <v>1345</v>
      </c>
      <c r="C19" s="29" t="s">
        <v>1327</v>
      </c>
      <c r="D19" s="29" t="s">
        <v>1328</v>
      </c>
      <c r="E19" s="29" t="s">
        <v>1329</v>
      </c>
      <c r="F19" s="28"/>
      <c r="G19" s="28"/>
      <c r="H19" s="28" t="s">
        <v>1297</v>
      </c>
      <c r="I19" s="28" t="s">
        <v>1309</v>
      </c>
      <c r="J19" s="28" t="s">
        <v>1330</v>
      </c>
    </row>
    <row r="20" spans="1:10" x14ac:dyDescent="0.25">
      <c r="A20" s="28" t="s">
        <v>542</v>
      </c>
      <c r="B20" s="28" t="s">
        <v>1346</v>
      </c>
      <c r="C20" s="29">
        <v>82</v>
      </c>
      <c r="D20" s="28"/>
      <c r="E20" s="29" t="s">
        <v>1329</v>
      </c>
      <c r="F20" s="28"/>
      <c r="G20" s="28"/>
      <c r="H20" s="28" t="s">
        <v>1297</v>
      </c>
      <c r="I20" s="28" t="s">
        <v>1309</v>
      </c>
      <c r="J20" s="28" t="s">
        <v>1330</v>
      </c>
    </row>
    <row r="21" spans="1:10" x14ac:dyDescent="0.25">
      <c r="A21" s="28" t="s">
        <v>532</v>
      </c>
      <c r="B21" s="28" t="s">
        <v>1347</v>
      </c>
      <c r="C21" s="29">
        <v>82</v>
      </c>
      <c r="D21" s="28"/>
      <c r="E21" s="29" t="s">
        <v>1329</v>
      </c>
      <c r="F21" s="28"/>
      <c r="G21" s="28"/>
      <c r="H21" s="28" t="s">
        <v>1297</v>
      </c>
      <c r="I21" s="28" t="s">
        <v>1309</v>
      </c>
      <c r="J21" s="28" t="s">
        <v>1330</v>
      </c>
    </row>
    <row r="22" spans="1:10" x14ac:dyDescent="0.25">
      <c r="A22" s="28" t="s">
        <v>498</v>
      </c>
      <c r="B22" s="28" t="s">
        <v>1348</v>
      </c>
      <c r="C22" s="29">
        <v>82</v>
      </c>
      <c r="D22" s="28"/>
      <c r="E22" s="29" t="s">
        <v>1329</v>
      </c>
      <c r="F22" s="28"/>
      <c r="G22" s="28"/>
      <c r="H22" s="28" t="s">
        <v>1297</v>
      </c>
      <c r="I22" s="28" t="s">
        <v>1309</v>
      </c>
      <c r="J22" s="28" t="s">
        <v>1330</v>
      </c>
    </row>
    <row r="23" spans="1:10" x14ac:dyDescent="0.25">
      <c r="A23" s="28" t="s">
        <v>530</v>
      </c>
      <c r="B23" s="28" t="s">
        <v>1349</v>
      </c>
      <c r="C23" s="29">
        <v>82</v>
      </c>
      <c r="D23" s="28"/>
      <c r="E23" s="29" t="s">
        <v>1329</v>
      </c>
      <c r="F23" s="28"/>
      <c r="G23" s="28"/>
      <c r="H23" s="28" t="s">
        <v>1297</v>
      </c>
      <c r="I23" s="28" t="s">
        <v>1309</v>
      </c>
      <c r="J23" s="28" t="s">
        <v>1330</v>
      </c>
    </row>
    <row r="24" spans="1:10" x14ac:dyDescent="0.25">
      <c r="A24" s="28" t="s">
        <v>516</v>
      </c>
      <c r="B24" s="28" t="s">
        <v>1350</v>
      </c>
      <c r="C24" s="29">
        <v>82</v>
      </c>
      <c r="D24" s="28"/>
      <c r="E24" s="29" t="s">
        <v>1329</v>
      </c>
      <c r="F24" s="28"/>
      <c r="G24" s="28"/>
      <c r="H24" s="28" t="s">
        <v>1297</v>
      </c>
      <c r="I24" s="28" t="s">
        <v>1309</v>
      </c>
      <c r="J24" s="28" t="s">
        <v>1330</v>
      </c>
    </row>
    <row r="25" spans="1:10" x14ac:dyDescent="0.25">
      <c r="A25" s="28" t="s">
        <v>494</v>
      </c>
      <c r="B25" s="28" t="s">
        <v>1351</v>
      </c>
      <c r="C25" s="29">
        <v>82</v>
      </c>
      <c r="D25" s="28"/>
      <c r="E25" s="29" t="s">
        <v>1329</v>
      </c>
      <c r="F25" s="28"/>
      <c r="G25" s="28"/>
      <c r="H25" s="28" t="s">
        <v>1297</v>
      </c>
      <c r="I25" s="28" t="s">
        <v>1309</v>
      </c>
      <c r="J25" s="28" t="s">
        <v>1330</v>
      </c>
    </row>
    <row r="26" spans="1:10" x14ac:dyDescent="0.25">
      <c r="A26" s="28" t="s">
        <v>512</v>
      </c>
      <c r="B26" s="28" t="s">
        <v>1352</v>
      </c>
      <c r="C26" s="29">
        <v>82</v>
      </c>
      <c r="D26" s="28"/>
      <c r="E26" s="29" t="s">
        <v>1329</v>
      </c>
      <c r="F26" s="28"/>
      <c r="G26" s="28"/>
      <c r="H26" s="28" t="s">
        <v>1297</v>
      </c>
      <c r="I26" s="28" t="s">
        <v>1309</v>
      </c>
      <c r="J26" s="28" t="s">
        <v>1330</v>
      </c>
    </row>
    <row r="27" spans="1:10" x14ac:dyDescent="0.25">
      <c r="A27" s="28" t="s">
        <v>534</v>
      </c>
      <c r="B27" s="28" t="s">
        <v>1353</v>
      </c>
      <c r="C27" s="29">
        <v>82</v>
      </c>
      <c r="D27" s="28"/>
      <c r="E27" s="29" t="s">
        <v>1329</v>
      </c>
      <c r="F27" s="28"/>
      <c r="G27" s="28"/>
      <c r="H27" s="28" t="s">
        <v>1297</v>
      </c>
      <c r="I27" s="28" t="s">
        <v>1309</v>
      </c>
      <c r="J27" s="28" t="s">
        <v>1330</v>
      </c>
    </row>
    <row r="28" spans="1:10" x14ac:dyDescent="0.25">
      <c r="A28" s="28" t="s">
        <v>526</v>
      </c>
      <c r="B28" s="28" t="s">
        <v>1354</v>
      </c>
      <c r="C28" s="29">
        <v>82</v>
      </c>
      <c r="D28" s="28"/>
      <c r="E28" s="29" t="s">
        <v>1329</v>
      </c>
      <c r="F28" s="28"/>
      <c r="G28" s="28"/>
      <c r="H28" s="28" t="s">
        <v>1297</v>
      </c>
      <c r="I28" s="28" t="s">
        <v>1309</v>
      </c>
      <c r="J28" s="28" t="s">
        <v>1330</v>
      </c>
    </row>
    <row r="29" spans="1:10" x14ac:dyDescent="0.25">
      <c r="A29" s="28" t="s">
        <v>506</v>
      </c>
      <c r="B29" s="28" t="s">
        <v>1355</v>
      </c>
      <c r="C29" s="29">
        <v>82</v>
      </c>
      <c r="D29" s="28"/>
      <c r="E29" s="29" t="s">
        <v>1329</v>
      </c>
      <c r="F29" s="28"/>
      <c r="G29" s="28"/>
      <c r="H29" s="28" t="s">
        <v>1297</v>
      </c>
      <c r="I29" s="28" t="s">
        <v>1309</v>
      </c>
      <c r="J29" s="28" t="s">
        <v>1330</v>
      </c>
    </row>
    <row r="30" spans="1:10" x14ac:dyDescent="0.25">
      <c r="A30" s="28" t="s">
        <v>538</v>
      </c>
      <c r="B30" s="28" t="s">
        <v>1356</v>
      </c>
      <c r="C30" s="29">
        <v>82</v>
      </c>
      <c r="D30" s="28"/>
      <c r="E30" s="29" t="s">
        <v>1329</v>
      </c>
      <c r="F30" s="28"/>
      <c r="G30" s="28"/>
      <c r="H30" s="28" t="s">
        <v>1297</v>
      </c>
      <c r="I30" s="28" t="s">
        <v>1309</v>
      </c>
      <c r="J30" s="28" t="s">
        <v>1330</v>
      </c>
    </row>
    <row r="31" spans="1:10" x14ac:dyDescent="0.25">
      <c r="A31" s="28" t="s">
        <v>496</v>
      </c>
      <c r="B31" s="28" t="s">
        <v>1357</v>
      </c>
      <c r="C31" s="29">
        <v>82</v>
      </c>
      <c r="D31" s="28"/>
      <c r="E31" s="29" t="s">
        <v>1329</v>
      </c>
      <c r="F31" s="28"/>
      <c r="G31" s="28"/>
      <c r="H31" s="28" t="s">
        <v>1297</v>
      </c>
      <c r="I31" s="28" t="s">
        <v>1309</v>
      </c>
      <c r="J31" s="28" t="s">
        <v>1330</v>
      </c>
    </row>
    <row r="32" spans="1:10" x14ac:dyDescent="0.25">
      <c r="A32" s="28" t="s">
        <v>435</v>
      </c>
      <c r="B32" s="28" t="s">
        <v>1358</v>
      </c>
      <c r="C32" s="29" t="s">
        <v>1327</v>
      </c>
      <c r="D32" s="29" t="s">
        <v>1328</v>
      </c>
      <c r="E32" s="29" t="s">
        <v>1359</v>
      </c>
      <c r="F32" s="28"/>
      <c r="G32" s="28"/>
      <c r="H32" s="28" t="s">
        <v>1296</v>
      </c>
      <c r="I32" s="28" t="s">
        <v>1315</v>
      </c>
      <c r="J32" s="28" t="s">
        <v>1315</v>
      </c>
    </row>
    <row r="33" spans="1:10" x14ac:dyDescent="0.25">
      <c r="A33" s="28" t="s">
        <v>413</v>
      </c>
      <c r="B33" s="28" t="s">
        <v>1360</v>
      </c>
      <c r="C33" s="29" t="s">
        <v>1327</v>
      </c>
      <c r="D33" s="29" t="s">
        <v>1328</v>
      </c>
      <c r="E33" s="29" t="s">
        <v>1359</v>
      </c>
      <c r="F33" s="28"/>
      <c r="G33" s="28"/>
      <c r="H33" s="28" t="s">
        <v>1296</v>
      </c>
      <c r="I33" s="28" t="s">
        <v>1315</v>
      </c>
      <c r="J33" s="28" t="s">
        <v>1315</v>
      </c>
    </row>
    <row r="34" spans="1:10" x14ac:dyDescent="0.25">
      <c r="A34" s="28" t="s">
        <v>429</v>
      </c>
      <c r="B34" s="28" t="s">
        <v>1361</v>
      </c>
      <c r="C34" s="29" t="s">
        <v>1327</v>
      </c>
      <c r="D34" s="29" t="s">
        <v>1328</v>
      </c>
      <c r="E34" s="29" t="s">
        <v>1359</v>
      </c>
      <c r="F34" s="28"/>
      <c r="G34" s="28"/>
      <c r="H34" s="28" t="s">
        <v>1296</v>
      </c>
      <c r="I34" s="28" t="s">
        <v>1315</v>
      </c>
      <c r="J34" s="28" t="s">
        <v>1315</v>
      </c>
    </row>
    <row r="35" spans="1:10" x14ac:dyDescent="0.25">
      <c r="A35" s="28" t="s">
        <v>17</v>
      </c>
      <c r="B35" s="28" t="s">
        <v>1362</v>
      </c>
      <c r="C35" s="29" t="s">
        <v>1327</v>
      </c>
      <c r="D35" s="29" t="s">
        <v>1328</v>
      </c>
      <c r="E35" s="29" t="s">
        <v>1359</v>
      </c>
      <c r="F35" s="28"/>
      <c r="G35" s="28"/>
      <c r="H35" s="28" t="s">
        <v>1296</v>
      </c>
      <c r="I35" s="28" t="s">
        <v>1315</v>
      </c>
      <c r="J35" s="28" t="s">
        <v>1315</v>
      </c>
    </row>
    <row r="36" spans="1:10" x14ac:dyDescent="0.25">
      <c r="A36" s="28" t="s">
        <v>427</v>
      </c>
      <c r="B36" s="28" t="s">
        <v>1363</v>
      </c>
      <c r="C36" s="29" t="s">
        <v>1364</v>
      </c>
      <c r="D36" s="29" t="s">
        <v>1328</v>
      </c>
      <c r="E36" s="29" t="s">
        <v>1329</v>
      </c>
      <c r="F36" s="28"/>
      <c r="G36" s="28"/>
      <c r="H36" s="28" t="s">
        <v>1298</v>
      </c>
      <c r="I36" s="28" t="s">
        <v>1310</v>
      </c>
      <c r="J36" s="28" t="s">
        <v>1312</v>
      </c>
    </row>
    <row r="37" spans="1:10" x14ac:dyDescent="0.25">
      <c r="A37" s="28" t="s">
        <v>399</v>
      </c>
      <c r="B37" s="28" t="s">
        <v>1365</v>
      </c>
      <c r="C37" s="29" t="s">
        <v>1364</v>
      </c>
      <c r="D37" s="29" t="s">
        <v>1328</v>
      </c>
      <c r="E37" s="29" t="s">
        <v>1329</v>
      </c>
      <c r="F37" s="28"/>
      <c r="G37" s="28"/>
      <c r="H37" s="28" t="s">
        <v>1298</v>
      </c>
      <c r="I37" s="28" t="s">
        <v>1310</v>
      </c>
      <c r="J37" s="28" t="s">
        <v>1312</v>
      </c>
    </row>
    <row r="38" spans="1:10" x14ac:dyDescent="0.25">
      <c r="A38" s="28" t="s">
        <v>409</v>
      </c>
      <c r="B38" s="28" t="s">
        <v>1366</v>
      </c>
      <c r="C38" s="29">
        <v>64</v>
      </c>
      <c r="D38" s="28"/>
      <c r="E38" s="29" t="s">
        <v>1329</v>
      </c>
      <c r="F38" s="28"/>
      <c r="G38" s="28"/>
      <c r="H38" s="28" t="s">
        <v>1298</v>
      </c>
      <c r="I38" s="28" t="s">
        <v>1310</v>
      </c>
      <c r="J38" s="28" t="s">
        <v>1312</v>
      </c>
    </row>
    <row r="39" spans="1:10" x14ac:dyDescent="0.25">
      <c r="A39" s="28" t="s">
        <v>392</v>
      </c>
      <c r="B39" s="28" t="s">
        <v>1367</v>
      </c>
      <c r="C39" s="29">
        <v>64</v>
      </c>
      <c r="D39" s="28"/>
      <c r="E39" s="29" t="s">
        <v>1329</v>
      </c>
      <c r="F39" s="28"/>
      <c r="G39" s="28"/>
      <c r="H39" s="28" t="s">
        <v>1298</v>
      </c>
      <c r="I39" s="28" t="s">
        <v>1310</v>
      </c>
      <c r="J39" s="28" t="s">
        <v>1312</v>
      </c>
    </row>
    <row r="40" spans="1:10" x14ac:dyDescent="0.25">
      <c r="A40" s="28" t="s">
        <v>390</v>
      </c>
      <c r="B40" s="28" t="s">
        <v>1368</v>
      </c>
      <c r="C40" s="29">
        <v>64</v>
      </c>
      <c r="D40" s="28"/>
      <c r="E40" s="29" t="s">
        <v>1329</v>
      </c>
      <c r="F40" s="28"/>
      <c r="G40" s="28"/>
      <c r="H40" s="28" t="s">
        <v>1298</v>
      </c>
      <c r="I40" s="28" t="s">
        <v>1310</v>
      </c>
      <c r="J40" s="28" t="s">
        <v>1312</v>
      </c>
    </row>
    <row r="41" spans="1:10" x14ac:dyDescent="0.25">
      <c r="A41" s="28" t="s">
        <v>401</v>
      </c>
      <c r="B41" s="28" t="s">
        <v>1369</v>
      </c>
      <c r="C41" s="29">
        <v>64</v>
      </c>
      <c r="D41" s="28"/>
      <c r="E41" s="29" t="s">
        <v>1329</v>
      </c>
      <c r="F41" s="28"/>
      <c r="G41" s="28"/>
      <c r="H41" s="28" t="s">
        <v>1298</v>
      </c>
      <c r="I41" s="28" t="s">
        <v>1310</v>
      </c>
      <c r="J41" s="28" t="s">
        <v>1312</v>
      </c>
    </row>
    <row r="42" spans="1:10" x14ac:dyDescent="0.25">
      <c r="A42" s="28" t="s">
        <v>405</v>
      </c>
      <c r="B42" s="28" t="s">
        <v>1370</v>
      </c>
      <c r="C42" s="29">
        <v>64</v>
      </c>
      <c r="D42" s="28"/>
      <c r="E42" s="29" t="s">
        <v>1329</v>
      </c>
      <c r="F42" s="28"/>
      <c r="G42" s="28"/>
      <c r="H42" s="28" t="s">
        <v>1298</v>
      </c>
      <c r="I42" s="28" t="s">
        <v>1310</v>
      </c>
      <c r="J42" s="28" t="s">
        <v>1312</v>
      </c>
    </row>
    <row r="43" spans="1:10" x14ac:dyDescent="0.25">
      <c r="A43" s="28" t="s">
        <v>417</v>
      </c>
      <c r="B43" s="28" t="s">
        <v>1371</v>
      </c>
      <c r="C43" s="29">
        <v>64</v>
      </c>
      <c r="D43" s="28"/>
      <c r="E43" s="29" t="s">
        <v>1329</v>
      </c>
      <c r="F43" s="28"/>
      <c r="G43" s="28"/>
      <c r="H43" s="28" t="s">
        <v>1298</v>
      </c>
      <c r="I43" s="28" t="s">
        <v>1310</v>
      </c>
      <c r="J43" s="28" t="s">
        <v>1312</v>
      </c>
    </row>
    <row r="44" spans="1:10" x14ac:dyDescent="0.25">
      <c r="A44" s="28" t="s">
        <v>407</v>
      </c>
      <c r="B44" s="28" t="s">
        <v>1372</v>
      </c>
      <c r="C44" s="29">
        <v>64</v>
      </c>
      <c r="D44" s="28"/>
      <c r="E44" s="29" t="s">
        <v>1329</v>
      </c>
      <c r="F44" s="28"/>
      <c r="G44" s="28"/>
      <c r="H44" s="28" t="s">
        <v>1298</v>
      </c>
      <c r="I44" s="28" t="s">
        <v>1310</v>
      </c>
      <c r="J44" s="28" t="s">
        <v>1312</v>
      </c>
    </row>
    <row r="45" spans="1:10" x14ac:dyDescent="0.25">
      <c r="A45" s="28" t="s">
        <v>415</v>
      </c>
      <c r="B45" s="28" t="s">
        <v>1373</v>
      </c>
      <c r="C45" s="29" t="s">
        <v>1364</v>
      </c>
      <c r="D45" s="29" t="s">
        <v>1328</v>
      </c>
      <c r="E45" s="29" t="s">
        <v>1329</v>
      </c>
      <c r="F45" s="28"/>
      <c r="G45" s="28"/>
      <c r="H45" s="28" t="s">
        <v>1298</v>
      </c>
      <c r="I45" s="28" t="s">
        <v>1310</v>
      </c>
      <c r="J45" s="28" t="s">
        <v>1312</v>
      </c>
    </row>
    <row r="46" spans="1:10" x14ac:dyDescent="0.25">
      <c r="A46" s="28" t="s">
        <v>395</v>
      </c>
      <c r="B46" s="28" t="s">
        <v>1374</v>
      </c>
      <c r="C46" s="29" t="s">
        <v>1375</v>
      </c>
      <c r="D46" s="29" t="s">
        <v>1328</v>
      </c>
      <c r="E46" s="29" t="s">
        <v>1376</v>
      </c>
      <c r="F46" s="28"/>
      <c r="G46" s="28"/>
      <c r="H46" s="28" t="s">
        <v>1295</v>
      </c>
      <c r="I46" s="28" t="s">
        <v>1310</v>
      </c>
      <c r="J46" s="28" t="s">
        <v>1312</v>
      </c>
    </row>
    <row r="47" spans="1:10" x14ac:dyDescent="0.25">
      <c r="A47" s="28" t="s">
        <v>419</v>
      </c>
      <c r="B47" s="28" t="s">
        <v>1377</v>
      </c>
      <c r="C47" s="29" t="s">
        <v>1375</v>
      </c>
      <c r="D47" s="29" t="s">
        <v>1328</v>
      </c>
      <c r="E47" s="29" t="s">
        <v>1376</v>
      </c>
      <c r="F47" s="28"/>
      <c r="G47" s="28"/>
      <c r="H47" s="28" t="s">
        <v>1295</v>
      </c>
      <c r="I47" s="28" t="s">
        <v>1310</v>
      </c>
      <c r="J47" s="28" t="s">
        <v>1312</v>
      </c>
    </row>
    <row r="48" spans="1:10" x14ac:dyDescent="0.25">
      <c r="A48" s="28" t="s">
        <v>411</v>
      </c>
      <c r="B48" s="28" t="s">
        <v>1378</v>
      </c>
      <c r="C48" s="29" t="s">
        <v>1379</v>
      </c>
      <c r="D48" s="29" t="s">
        <v>1328</v>
      </c>
      <c r="E48" s="29" t="s">
        <v>1376</v>
      </c>
      <c r="F48" s="28"/>
      <c r="G48" s="28"/>
      <c r="H48" s="28" t="s">
        <v>1295</v>
      </c>
      <c r="I48" s="28" t="s">
        <v>1310</v>
      </c>
      <c r="J48" s="28" t="s">
        <v>1312</v>
      </c>
    </row>
    <row r="49" spans="1:10" x14ac:dyDescent="0.25">
      <c r="A49" s="28" t="s">
        <v>433</v>
      </c>
      <c r="B49" s="28" t="s">
        <v>1380</v>
      </c>
      <c r="C49" s="29" t="s">
        <v>1375</v>
      </c>
      <c r="D49" s="29" t="s">
        <v>1328</v>
      </c>
      <c r="E49" s="29" t="s">
        <v>1376</v>
      </c>
      <c r="F49" s="28"/>
      <c r="G49" s="28"/>
      <c r="H49" s="28" t="s">
        <v>1295</v>
      </c>
      <c r="I49" s="28" t="s">
        <v>1310</v>
      </c>
      <c r="J49" s="28" t="s">
        <v>1312</v>
      </c>
    </row>
    <row r="50" spans="1:10" x14ac:dyDescent="0.25">
      <c r="A50" s="28" t="s">
        <v>433</v>
      </c>
      <c r="B50" s="28" t="s">
        <v>1380</v>
      </c>
      <c r="C50" s="29" t="s">
        <v>1375</v>
      </c>
      <c r="D50" s="29" t="s">
        <v>1328</v>
      </c>
      <c r="E50" s="29" t="s">
        <v>1376</v>
      </c>
      <c r="F50" s="28"/>
      <c r="G50" s="28"/>
      <c r="H50" s="28" t="s">
        <v>1295</v>
      </c>
      <c r="I50" s="28" t="s">
        <v>1310</v>
      </c>
      <c r="J50" s="28" t="s">
        <v>1312</v>
      </c>
    </row>
    <row r="51" spans="1:10" x14ac:dyDescent="0.25">
      <c r="A51" s="28" t="s">
        <v>403</v>
      </c>
      <c r="B51" s="28" t="s">
        <v>1381</v>
      </c>
      <c r="C51" s="29" t="s">
        <v>1375</v>
      </c>
      <c r="D51" s="29" t="s">
        <v>1328</v>
      </c>
      <c r="E51" s="29" t="s">
        <v>1376</v>
      </c>
      <c r="F51" s="28"/>
      <c r="G51" s="28"/>
      <c r="H51" s="28" t="s">
        <v>1295</v>
      </c>
      <c r="I51" s="28" t="s">
        <v>1310</v>
      </c>
      <c r="J51" s="28" t="s">
        <v>1312</v>
      </c>
    </row>
    <row r="52" spans="1:10" x14ac:dyDescent="0.25">
      <c r="A52" s="28" t="s">
        <v>437</v>
      </c>
      <c r="B52" s="28" t="s">
        <v>1382</v>
      </c>
      <c r="C52" s="29" t="s">
        <v>1375</v>
      </c>
      <c r="D52" s="29" t="s">
        <v>1328</v>
      </c>
      <c r="E52" s="29" t="s">
        <v>1376</v>
      </c>
      <c r="F52" s="28"/>
      <c r="G52" s="28"/>
      <c r="H52" s="28" t="s">
        <v>1295</v>
      </c>
      <c r="I52" s="28" t="s">
        <v>1310</v>
      </c>
      <c r="J52" s="28" t="s">
        <v>1312</v>
      </c>
    </row>
    <row r="53" spans="1:10" x14ac:dyDescent="0.25">
      <c r="A53" s="28" t="s">
        <v>397</v>
      </c>
      <c r="B53" s="28" t="s">
        <v>1383</v>
      </c>
      <c r="C53" s="29" t="s">
        <v>1375</v>
      </c>
      <c r="D53" s="29" t="s">
        <v>1328</v>
      </c>
      <c r="E53" s="29" t="s">
        <v>1376</v>
      </c>
      <c r="F53" s="28"/>
      <c r="G53" s="28"/>
      <c r="H53" s="28" t="s">
        <v>1295</v>
      </c>
      <c r="I53" s="28" t="s">
        <v>1310</v>
      </c>
      <c r="J53" s="28" t="s">
        <v>1312</v>
      </c>
    </row>
    <row r="54" spans="1:10" x14ac:dyDescent="0.25">
      <c r="A54" s="28" t="s">
        <v>431</v>
      </c>
      <c r="B54" s="28" t="s">
        <v>1384</v>
      </c>
      <c r="C54" s="29" t="s">
        <v>1385</v>
      </c>
      <c r="D54" s="29" t="s">
        <v>1328</v>
      </c>
      <c r="E54" s="29" t="s">
        <v>1376</v>
      </c>
      <c r="F54" s="28"/>
      <c r="G54" s="28"/>
      <c r="H54" s="28" t="s">
        <v>1295</v>
      </c>
      <c r="I54" s="28" t="s">
        <v>1310</v>
      </c>
      <c r="J54" s="28" t="s">
        <v>1312</v>
      </c>
    </row>
    <row r="55" spans="1:10" x14ac:dyDescent="0.25">
      <c r="A55" s="28" t="s">
        <v>425</v>
      </c>
      <c r="B55" s="28" t="s">
        <v>1386</v>
      </c>
      <c r="C55" s="29" t="s">
        <v>1385</v>
      </c>
      <c r="D55" s="29" t="s">
        <v>1328</v>
      </c>
      <c r="E55" s="29" t="s">
        <v>1387</v>
      </c>
      <c r="F55" s="28"/>
      <c r="G55" s="28"/>
      <c r="H55" s="28" t="s">
        <v>1295</v>
      </c>
      <c r="I55" s="28" t="s">
        <v>1310</v>
      </c>
      <c r="J55" s="28" t="s">
        <v>1312</v>
      </c>
    </row>
    <row r="56" spans="1:10" x14ac:dyDescent="0.25">
      <c r="A56" s="28" t="s">
        <v>425</v>
      </c>
      <c r="B56" s="28" t="s">
        <v>1386</v>
      </c>
      <c r="C56" s="29" t="s">
        <v>1385</v>
      </c>
      <c r="D56" s="29" t="s">
        <v>1328</v>
      </c>
      <c r="E56" s="29" t="s">
        <v>1387</v>
      </c>
      <c r="F56" s="28"/>
      <c r="G56" s="28"/>
      <c r="H56" s="28" t="s">
        <v>1295</v>
      </c>
      <c r="I56" s="28" t="s">
        <v>1310</v>
      </c>
      <c r="J56" s="28" t="s">
        <v>1312</v>
      </c>
    </row>
    <row r="57" spans="1:10" x14ac:dyDescent="0.25">
      <c r="A57" s="28" t="s">
        <v>421</v>
      </c>
      <c r="B57" s="28" t="s">
        <v>1388</v>
      </c>
      <c r="C57" s="29">
        <v>0</v>
      </c>
      <c r="D57" s="28"/>
      <c r="E57" s="29" t="s">
        <v>1376</v>
      </c>
      <c r="F57" s="28"/>
      <c r="G57" s="28"/>
      <c r="H57" s="28" t="s">
        <v>1295</v>
      </c>
      <c r="I57" s="28" t="s">
        <v>1310</v>
      </c>
      <c r="J57" s="28" t="s">
        <v>1312</v>
      </c>
    </row>
    <row r="58" spans="1:10" x14ac:dyDescent="0.25">
      <c r="A58" s="28" t="s">
        <v>423</v>
      </c>
      <c r="B58" s="28" t="s">
        <v>1389</v>
      </c>
      <c r="C58" s="29">
        <v>0</v>
      </c>
      <c r="D58" s="28"/>
      <c r="E58" s="29" t="s">
        <v>1376</v>
      </c>
      <c r="F58" s="28"/>
      <c r="G58" s="28"/>
      <c r="H58" s="28" t="s">
        <v>1295</v>
      </c>
      <c r="I58" s="28" t="s">
        <v>1310</v>
      </c>
      <c r="J58" s="28" t="s">
        <v>1312</v>
      </c>
    </row>
    <row r="59" spans="1:10" x14ac:dyDescent="0.25">
      <c r="A59" s="28" t="s">
        <v>214</v>
      </c>
      <c r="B59" s="28" t="s">
        <v>1390</v>
      </c>
      <c r="C59" s="29">
        <v>0</v>
      </c>
      <c r="D59" s="28"/>
      <c r="E59" s="29" t="s">
        <v>1359</v>
      </c>
      <c r="F59" s="28"/>
      <c r="G59" s="28"/>
      <c r="H59" s="28" t="s">
        <v>1291</v>
      </c>
      <c r="I59" s="28" t="s">
        <v>1311</v>
      </c>
      <c r="J59" s="28" t="s">
        <v>1148</v>
      </c>
    </row>
    <row r="60" spans="1:10" x14ac:dyDescent="0.25">
      <c r="A60" s="28" t="s">
        <v>1292</v>
      </c>
      <c r="B60" s="28" t="s">
        <v>1391</v>
      </c>
      <c r="C60" s="29">
        <v>0</v>
      </c>
      <c r="D60" s="28"/>
      <c r="E60" s="29" t="s">
        <v>1359</v>
      </c>
      <c r="F60" s="28"/>
      <c r="G60" s="28"/>
      <c r="H60" s="28" t="s">
        <v>1291</v>
      </c>
      <c r="I60" s="28" t="s">
        <v>1311</v>
      </c>
      <c r="J60" s="28" t="s">
        <v>1148</v>
      </c>
    </row>
    <row r="61" spans="1:10" x14ac:dyDescent="0.25">
      <c r="A61" s="28" t="s">
        <v>1293</v>
      </c>
      <c r="B61" s="28" t="s">
        <v>1392</v>
      </c>
      <c r="C61" s="29">
        <v>0</v>
      </c>
      <c r="D61" s="28"/>
      <c r="E61" s="29" t="s">
        <v>1359</v>
      </c>
      <c r="F61" s="28"/>
      <c r="G61" s="28"/>
      <c r="H61" s="28" t="s">
        <v>1291</v>
      </c>
      <c r="I61" s="28" t="s">
        <v>1311</v>
      </c>
      <c r="J61" s="28" t="s">
        <v>1148</v>
      </c>
    </row>
    <row r="62" spans="1:10" x14ac:dyDescent="0.25">
      <c r="A62" s="28" t="s">
        <v>216</v>
      </c>
      <c r="B62" s="28" t="s">
        <v>1393</v>
      </c>
      <c r="C62" s="29">
        <v>71</v>
      </c>
      <c r="D62" s="28"/>
      <c r="E62" s="29" t="s">
        <v>1359</v>
      </c>
      <c r="F62" s="28"/>
      <c r="G62" s="28"/>
      <c r="H62" s="28" t="s">
        <v>1291</v>
      </c>
      <c r="I62" s="28" t="s">
        <v>1311</v>
      </c>
      <c r="J62" s="28" t="s">
        <v>1148</v>
      </c>
    </row>
    <row r="63" spans="1:10" x14ac:dyDescent="0.25">
      <c r="A63" s="28" t="s">
        <v>1294</v>
      </c>
      <c r="B63" s="28" t="s">
        <v>1394</v>
      </c>
      <c r="C63" s="29">
        <v>71</v>
      </c>
      <c r="D63" s="28"/>
      <c r="E63" s="29" t="s">
        <v>1359</v>
      </c>
      <c r="F63" s="28"/>
      <c r="G63" s="28"/>
      <c r="H63" s="28" t="s">
        <v>1291</v>
      </c>
      <c r="I63" s="28" t="s">
        <v>1311</v>
      </c>
      <c r="J63" s="28" t="s">
        <v>1148</v>
      </c>
    </row>
    <row r="64" spans="1:10" x14ac:dyDescent="0.25">
      <c r="A64" s="28" t="s">
        <v>89</v>
      </c>
      <c r="B64" s="28" t="s">
        <v>1395</v>
      </c>
      <c r="C64" s="29">
        <v>71</v>
      </c>
      <c r="D64" s="28"/>
      <c r="E64" s="29" t="s">
        <v>1359</v>
      </c>
      <c r="F64" s="28"/>
      <c r="G64" s="28"/>
      <c r="H64" s="28" t="s">
        <v>1291</v>
      </c>
      <c r="I64" s="28" t="s">
        <v>1311</v>
      </c>
      <c r="J64" s="28" t="s">
        <v>1148</v>
      </c>
    </row>
    <row r="65" spans="1:10" x14ac:dyDescent="0.25">
      <c r="A65" s="28" t="s">
        <v>221</v>
      </c>
      <c r="B65" s="28" t="s">
        <v>1396</v>
      </c>
      <c r="C65" s="29">
        <v>71</v>
      </c>
      <c r="D65" s="28"/>
      <c r="E65" s="29" t="s">
        <v>1359</v>
      </c>
      <c r="F65" s="28"/>
      <c r="G65" s="28"/>
      <c r="H65" s="28" t="s">
        <v>1291</v>
      </c>
      <c r="I65" s="28" t="s">
        <v>1311</v>
      </c>
      <c r="J65" s="28" t="s">
        <v>1148</v>
      </c>
    </row>
    <row r="66" spans="1:10" x14ac:dyDescent="0.25">
      <c r="A66" s="28" t="s">
        <v>38</v>
      </c>
      <c r="B66" s="28" t="s">
        <v>1397</v>
      </c>
      <c r="C66" s="29" t="s">
        <v>1398</v>
      </c>
      <c r="D66" s="29" t="s">
        <v>1328</v>
      </c>
      <c r="E66" s="29" t="s">
        <v>1376</v>
      </c>
      <c r="F66" s="28"/>
      <c r="G66" s="28"/>
      <c r="H66" s="28" t="s">
        <v>1290</v>
      </c>
      <c r="I66" s="28" t="s">
        <v>1278</v>
      </c>
      <c r="J66" s="28" t="s">
        <v>1148</v>
      </c>
    </row>
    <row r="67" spans="1:10" x14ac:dyDescent="0.25">
      <c r="A67" s="28" t="s">
        <v>42</v>
      </c>
      <c r="B67" s="28" t="s">
        <v>1399</v>
      </c>
      <c r="C67" s="29">
        <v>31</v>
      </c>
      <c r="D67" s="28"/>
      <c r="E67" s="29" t="s">
        <v>1376</v>
      </c>
      <c r="F67" s="28"/>
      <c r="G67" s="28"/>
      <c r="H67" s="28" t="s">
        <v>1290</v>
      </c>
      <c r="I67" s="28" t="s">
        <v>1278</v>
      </c>
      <c r="J67" s="28" t="s">
        <v>1148</v>
      </c>
    </row>
    <row r="68" spans="1:10" x14ac:dyDescent="0.25">
      <c r="A68" s="28" t="s">
        <v>34</v>
      </c>
      <c r="B68" s="28" t="s">
        <v>1400</v>
      </c>
      <c r="C68" s="29">
        <v>31</v>
      </c>
      <c r="D68" s="28"/>
      <c r="E68" s="29" t="s">
        <v>1376</v>
      </c>
      <c r="F68" s="28"/>
      <c r="G68" s="28"/>
      <c r="H68" s="28" t="s">
        <v>1290</v>
      </c>
      <c r="I68" s="28" t="s">
        <v>1278</v>
      </c>
      <c r="J68" s="28" t="s">
        <v>1148</v>
      </c>
    </row>
    <row r="69" spans="1:10" x14ac:dyDescent="0.25">
      <c r="A69" s="28" t="s">
        <v>46</v>
      </c>
      <c r="B69" s="28" t="s">
        <v>1401</v>
      </c>
      <c r="C69" s="29">
        <v>31</v>
      </c>
      <c r="D69" s="28"/>
      <c r="E69" s="29" t="s">
        <v>1376</v>
      </c>
      <c r="F69" s="28"/>
      <c r="G69" s="28"/>
      <c r="H69" s="28" t="s">
        <v>1290</v>
      </c>
      <c r="I69" s="28" t="s">
        <v>1278</v>
      </c>
      <c r="J69" s="28" t="s">
        <v>1148</v>
      </c>
    </row>
    <row r="70" spans="1:10" x14ac:dyDescent="0.25">
      <c r="A70" s="28" t="s">
        <v>40</v>
      </c>
      <c r="B70" s="28" t="s">
        <v>1402</v>
      </c>
      <c r="C70" s="29">
        <v>31</v>
      </c>
      <c r="D70" s="28"/>
      <c r="E70" s="29" t="s">
        <v>1376</v>
      </c>
      <c r="F70" s="28"/>
      <c r="G70" s="28"/>
      <c r="H70" s="28" t="s">
        <v>1290</v>
      </c>
      <c r="I70" s="28" t="s">
        <v>1278</v>
      </c>
      <c r="J70" s="28" t="s">
        <v>1148</v>
      </c>
    </row>
    <row r="71" spans="1:10" x14ac:dyDescent="0.25">
      <c r="A71" s="28" t="s">
        <v>26</v>
      </c>
      <c r="B71" s="28" t="s">
        <v>1403</v>
      </c>
      <c r="C71" s="29" t="s">
        <v>1404</v>
      </c>
      <c r="D71" s="29" t="s">
        <v>1328</v>
      </c>
      <c r="E71" s="29" t="s">
        <v>1376</v>
      </c>
      <c r="F71" s="28"/>
      <c r="G71" s="28"/>
      <c r="H71" s="28" t="s">
        <v>1290</v>
      </c>
      <c r="I71" s="28" t="s">
        <v>1278</v>
      </c>
      <c r="J71" s="28" t="s">
        <v>1148</v>
      </c>
    </row>
    <row r="72" spans="1:10" x14ac:dyDescent="0.25">
      <c r="A72" s="28" t="s">
        <v>20</v>
      </c>
      <c r="B72" s="28" t="s">
        <v>1405</v>
      </c>
      <c r="C72" s="29">
        <v>41</v>
      </c>
      <c r="D72" s="28"/>
      <c r="E72" s="29" t="s">
        <v>1376</v>
      </c>
      <c r="F72" s="28"/>
      <c r="G72" s="28"/>
      <c r="H72" s="28" t="s">
        <v>1290</v>
      </c>
      <c r="I72" s="28" t="s">
        <v>1278</v>
      </c>
      <c r="J72" s="28" t="s">
        <v>1148</v>
      </c>
    </row>
    <row r="73" spans="1:10" x14ac:dyDescent="0.25">
      <c r="A73" s="28" t="s">
        <v>44</v>
      </c>
      <c r="B73" s="28" t="s">
        <v>1406</v>
      </c>
      <c r="C73" s="29">
        <v>41</v>
      </c>
      <c r="D73" s="28"/>
      <c r="E73" s="29" t="s">
        <v>1376</v>
      </c>
      <c r="F73" s="28"/>
      <c r="G73" s="28"/>
      <c r="H73" s="28" t="s">
        <v>1290</v>
      </c>
      <c r="I73" s="28" t="s">
        <v>1278</v>
      </c>
      <c r="J73" s="28" t="s">
        <v>1148</v>
      </c>
    </row>
    <row r="74" spans="1:10" x14ac:dyDescent="0.25">
      <c r="A74" s="28" t="s">
        <v>28</v>
      </c>
      <c r="B74" s="28" t="s">
        <v>1407</v>
      </c>
      <c r="C74" s="29">
        <v>41</v>
      </c>
      <c r="D74" s="28"/>
      <c r="E74" s="29" t="s">
        <v>1376</v>
      </c>
      <c r="F74" s="28"/>
      <c r="G74" s="28"/>
      <c r="H74" s="28" t="s">
        <v>1290</v>
      </c>
      <c r="I74" s="28" t="s">
        <v>1278</v>
      </c>
      <c r="J74" s="28" t="s">
        <v>1148</v>
      </c>
    </row>
    <row r="75" spans="1:10" x14ac:dyDescent="0.25">
      <c r="A75" s="28" t="s">
        <v>24</v>
      </c>
      <c r="B75" s="28" t="s">
        <v>1408</v>
      </c>
      <c r="C75" s="29" t="s">
        <v>1409</v>
      </c>
      <c r="D75" s="29" t="s">
        <v>1328</v>
      </c>
      <c r="E75" s="29" t="s">
        <v>1376</v>
      </c>
      <c r="F75" s="28"/>
      <c r="G75" s="28"/>
      <c r="H75" s="28" t="s">
        <v>1290</v>
      </c>
      <c r="I75" s="28" t="s">
        <v>1278</v>
      </c>
      <c r="J75" s="28" t="s">
        <v>1148</v>
      </c>
    </row>
    <row r="76" spans="1:10" x14ac:dyDescent="0.25">
      <c r="A76" s="28" t="s">
        <v>36</v>
      </c>
      <c r="B76" s="28" t="s">
        <v>1410</v>
      </c>
      <c r="C76" s="29">
        <v>81</v>
      </c>
      <c r="D76" s="28"/>
      <c r="E76" s="29" t="s">
        <v>1376</v>
      </c>
      <c r="F76" s="28"/>
      <c r="G76" s="28"/>
      <c r="H76" s="28" t="s">
        <v>1290</v>
      </c>
      <c r="I76" s="28" t="s">
        <v>1278</v>
      </c>
      <c r="J76" s="28" t="s">
        <v>1148</v>
      </c>
    </row>
    <row r="77" spans="1:10" x14ac:dyDescent="0.25">
      <c r="A77" s="28" t="s">
        <v>22</v>
      </c>
      <c r="B77" s="28" t="s">
        <v>1411</v>
      </c>
      <c r="C77" s="29">
        <v>81</v>
      </c>
      <c r="D77" s="28"/>
      <c r="E77" s="29" t="s">
        <v>1376</v>
      </c>
      <c r="F77" s="28"/>
      <c r="G77" s="28"/>
      <c r="H77" s="28" t="s">
        <v>1290</v>
      </c>
      <c r="I77" s="28" t="s">
        <v>1278</v>
      </c>
      <c r="J77" s="28" t="s">
        <v>1148</v>
      </c>
    </row>
    <row r="78" spans="1:10" x14ac:dyDescent="0.25">
      <c r="A78" s="28" t="s">
        <v>32</v>
      </c>
      <c r="B78" s="28" t="s">
        <v>1412</v>
      </c>
      <c r="C78" s="29">
        <v>81</v>
      </c>
      <c r="D78" s="28"/>
      <c r="E78" s="29" t="s">
        <v>1376</v>
      </c>
      <c r="F78" s="28"/>
      <c r="G78" s="28"/>
      <c r="H78" s="28" t="s">
        <v>1290</v>
      </c>
      <c r="I78" s="28" t="s">
        <v>1278</v>
      </c>
      <c r="J78" s="28" t="s">
        <v>1148</v>
      </c>
    </row>
    <row r="79" spans="1:10" x14ac:dyDescent="0.25">
      <c r="A79" s="28" t="s">
        <v>504</v>
      </c>
      <c r="B79" s="28" t="s">
        <v>1413</v>
      </c>
      <c r="C79" s="29">
        <v>81</v>
      </c>
      <c r="D79" s="28"/>
      <c r="E79" s="29" t="s">
        <v>1376</v>
      </c>
      <c r="F79" s="28"/>
      <c r="G79" s="28"/>
      <c r="H79" s="28" t="s">
        <v>1290</v>
      </c>
      <c r="I79" s="28" t="s">
        <v>1278</v>
      </c>
      <c r="J79" s="28" t="s">
        <v>1148</v>
      </c>
    </row>
    <row r="80" spans="1:10" x14ac:dyDescent="0.25">
      <c r="A80" s="28" t="s">
        <v>486</v>
      </c>
      <c r="B80" s="28" t="s">
        <v>1414</v>
      </c>
      <c r="C80" s="29">
        <v>81</v>
      </c>
      <c r="D80" s="28"/>
      <c r="E80" s="29" t="s">
        <v>1376</v>
      </c>
      <c r="F80" s="28"/>
      <c r="G80" s="28"/>
      <c r="H80" s="28" t="s">
        <v>1290</v>
      </c>
      <c r="I80" s="28" t="s">
        <v>1278</v>
      </c>
      <c r="J80" s="28" t="s">
        <v>1148</v>
      </c>
    </row>
    <row r="81" spans="1:10" x14ac:dyDescent="0.25">
      <c r="A81" s="28" t="s">
        <v>522</v>
      </c>
      <c r="B81" s="28" t="s">
        <v>1415</v>
      </c>
      <c r="C81" s="29">
        <v>81</v>
      </c>
      <c r="D81" s="28"/>
      <c r="E81" s="29" t="s">
        <v>1376</v>
      </c>
      <c r="F81" s="28"/>
      <c r="G81" s="28"/>
      <c r="H81" s="28" t="s">
        <v>1290</v>
      </c>
      <c r="I81" s="28" t="s">
        <v>1278</v>
      </c>
      <c r="J81" s="28" t="s">
        <v>1148</v>
      </c>
    </row>
    <row r="82" spans="1:10" x14ac:dyDescent="0.25">
      <c r="A82" s="28" t="s">
        <v>562</v>
      </c>
      <c r="B82" s="28" t="s">
        <v>1416</v>
      </c>
      <c r="C82" s="29">
        <v>81</v>
      </c>
      <c r="D82" s="28"/>
      <c r="E82" s="29" t="s">
        <v>1376</v>
      </c>
      <c r="F82" s="28"/>
      <c r="G82" s="28"/>
      <c r="H82" s="28" t="s">
        <v>1290</v>
      </c>
      <c r="I82" s="28" t="s">
        <v>1278</v>
      </c>
      <c r="J82" s="28" t="s">
        <v>1148</v>
      </c>
    </row>
    <row r="83" spans="1:10" x14ac:dyDescent="0.25">
      <c r="A83" s="28" t="s">
        <v>30</v>
      </c>
      <c r="B83" s="28" t="s">
        <v>1417</v>
      </c>
      <c r="C83" s="29">
        <v>81</v>
      </c>
      <c r="D83" s="28"/>
      <c r="E83" s="29" t="s">
        <v>1376</v>
      </c>
      <c r="F83" s="28"/>
      <c r="G83" s="28"/>
      <c r="H83" s="28" t="s">
        <v>1290</v>
      </c>
      <c r="I83" s="28" t="s">
        <v>1278</v>
      </c>
      <c r="J83" s="28" t="s">
        <v>1148</v>
      </c>
    </row>
    <row r="84" spans="1:10" x14ac:dyDescent="0.25">
      <c r="A84" s="28" t="s">
        <v>568</v>
      </c>
      <c r="B84" s="28" t="s">
        <v>1418</v>
      </c>
      <c r="C84" s="28"/>
      <c r="D84" s="28"/>
      <c r="E84" s="29" t="s">
        <v>1376</v>
      </c>
      <c r="F84" s="28"/>
      <c r="G84" s="28"/>
      <c r="H84" s="28" t="s">
        <v>1290</v>
      </c>
      <c r="I84" s="28" t="s">
        <v>1278</v>
      </c>
      <c r="J84" s="28" t="s">
        <v>1148</v>
      </c>
    </row>
    <row r="85" spans="1:10" x14ac:dyDescent="0.25">
      <c r="A85" s="28" t="s">
        <v>548</v>
      </c>
      <c r="B85" s="28" t="s">
        <v>1419</v>
      </c>
      <c r="C85" s="29">
        <v>82</v>
      </c>
      <c r="D85" s="28"/>
      <c r="E85" s="29" t="s">
        <v>1329</v>
      </c>
      <c r="F85" s="28"/>
      <c r="G85" s="28"/>
      <c r="H85" s="28" t="s">
        <v>1290</v>
      </c>
      <c r="I85" s="28" t="s">
        <v>1278</v>
      </c>
      <c r="J85" s="28" t="s">
        <v>1148</v>
      </c>
    </row>
    <row r="86" spans="1:10" x14ac:dyDescent="0.25">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tabColor rgb="FFCC0066"/>
  </sheetPr>
  <dimension ref="A1:O48"/>
  <sheetViews>
    <sheetView topLeftCell="G1" workbookViewId="0">
      <selection activeCell="Q25" sqref="Q25"/>
    </sheetView>
  </sheetViews>
  <sheetFormatPr defaultColWidth="9.140625" defaultRowHeight="15" x14ac:dyDescent="0.25"/>
  <cols>
    <col min="1" max="1" width="9.140625" style="120"/>
    <col min="2" max="2" width="5.28515625" style="120" bestFit="1" customWidth="1"/>
    <col min="3" max="3" width="27.42578125" style="120" bestFit="1" customWidth="1"/>
    <col min="4" max="4" width="32.140625" style="120" bestFit="1" customWidth="1"/>
    <col min="5" max="5" width="22.28515625" style="120" bestFit="1" customWidth="1"/>
    <col min="6" max="6" width="22.28515625" style="120" customWidth="1"/>
    <col min="7" max="7" width="7.5703125" style="120" bestFit="1" customWidth="1"/>
    <col min="8" max="8" width="6.5703125" style="120" bestFit="1" customWidth="1"/>
    <col min="9" max="9" width="20.5703125" style="120" bestFit="1" customWidth="1"/>
    <col min="10" max="11" width="24.85546875" style="120" customWidth="1"/>
    <col min="12" max="12" width="13.85546875" style="120" bestFit="1" customWidth="1"/>
    <col min="13" max="13" width="8.85546875" style="120" bestFit="1" customWidth="1"/>
    <col min="14" max="14" width="11.5703125" style="386" bestFit="1" customWidth="1"/>
    <col min="15" max="15" width="23.5703125" style="386" bestFit="1" customWidth="1"/>
    <col min="16" max="16384" width="9.140625" style="120"/>
  </cols>
  <sheetData>
    <row r="1" spans="1:15" x14ac:dyDescent="0.25">
      <c r="A1" s="120" t="s">
        <v>3494</v>
      </c>
      <c r="B1" s="120" t="s">
        <v>3023</v>
      </c>
      <c r="C1" s="120" t="s">
        <v>0</v>
      </c>
      <c r="E1" s="120" t="s">
        <v>3590</v>
      </c>
      <c r="F1" s="120" t="s">
        <v>3613</v>
      </c>
      <c r="G1" s="120" t="s">
        <v>3025</v>
      </c>
      <c r="H1" s="120" t="s">
        <v>3026</v>
      </c>
      <c r="I1" s="120" t="s">
        <v>3027</v>
      </c>
      <c r="J1" s="120" t="s">
        <v>3495</v>
      </c>
      <c r="K1" s="120" t="s">
        <v>3496</v>
      </c>
      <c r="L1" s="120" t="s">
        <v>3497</v>
      </c>
      <c r="M1" s="120" t="s">
        <v>3498</v>
      </c>
      <c r="N1" s="385" t="s">
        <v>3499</v>
      </c>
      <c r="O1" s="385" t="s">
        <v>3500</v>
      </c>
    </row>
    <row r="2" spans="1:15" x14ac:dyDescent="0.25">
      <c r="A2" s="120">
        <v>750</v>
      </c>
      <c r="B2" s="120" t="s">
        <v>254</v>
      </c>
      <c r="C2" s="120" t="s">
        <v>3148</v>
      </c>
      <c r="D2" s="120" t="s">
        <v>2804</v>
      </c>
      <c r="E2" s="35" t="str">
        <f>VLOOKUP($B2,'Tarieven ZZP'!$B$6:$J$238,3,FALSE)</f>
        <v>Z015 ZZP 1vv incl.db</v>
      </c>
      <c r="F2" s="35">
        <f>VLOOKUP($B2,'Tarieven ZZP'!$B$6:$J$238,4,FALSE)</f>
        <v>46.543332220103473</v>
      </c>
      <c r="G2" s="35">
        <f>VLOOKUP($B2,'Tarieven ZZP'!$B$6:$J$238,5,FALSE)</f>
        <v>25.07466255282586</v>
      </c>
      <c r="H2" s="35">
        <f>VLOOKUP($B2,'Tarieven ZZP'!$B$6:$J$238,6,FALSE)</f>
        <v>26.33</v>
      </c>
      <c r="I2" s="35">
        <f>VLOOKUP($B2,'Tarieven ZZP'!$B$6:$J$238,7,FALSE)</f>
        <v>1.92</v>
      </c>
      <c r="J2" s="35">
        <f>VLOOKUP($B2,'Tarieven ZZP'!$B$6:$J$238,8,FALSE)</f>
        <v>0</v>
      </c>
      <c r="K2" s="35">
        <f>VLOOKUP($B2,'Tarieven ZZP'!$B$6:$J$238,8,FALSE)</f>
        <v>0</v>
      </c>
      <c r="L2" s="384">
        <f t="shared" ref="L2:L48" si="0">K2-J2</f>
        <v>0</v>
      </c>
      <c r="M2" s="283" t="e">
        <f>SUM(N2:O2)</f>
        <v>#DIV/0!</v>
      </c>
      <c r="N2" s="385" t="e">
        <f t="shared" ref="N2:N48" si="1">ROUND(J2/K2,2)</f>
        <v>#DIV/0!</v>
      </c>
      <c r="O2" s="385" t="e">
        <f>ROUND(L2/K2,2)</f>
        <v>#DIV/0!</v>
      </c>
    </row>
    <row r="3" spans="1:15" x14ac:dyDescent="0.25">
      <c r="A3" s="120">
        <v>751</v>
      </c>
      <c r="B3" s="120" t="s">
        <v>298</v>
      </c>
      <c r="C3" s="120" t="s">
        <v>3149</v>
      </c>
      <c r="D3" s="120" t="s">
        <v>2805</v>
      </c>
      <c r="E3" s="35" t="str">
        <f>VLOOKUP($B3,'Tarieven ZZP'!$B$6:$J$238,3,FALSE)</f>
        <v>Z025 ZZP 2vv incl.db</v>
      </c>
      <c r="F3" s="35">
        <f>VLOOKUP($B3,'Tarieven ZZP'!$B$6:$J$238,4,FALSE)</f>
        <v>69.796531732239572</v>
      </c>
      <c r="G3" s="35">
        <f>VLOOKUP($B3,'Tarieven ZZP'!$B$6:$J$238,5,FALSE)</f>
        <v>28.711627236385482</v>
      </c>
      <c r="H3" s="35">
        <f>VLOOKUP($B3,'Tarieven ZZP'!$B$6:$J$238,6,FALSE)</f>
        <v>27.65</v>
      </c>
      <c r="I3" s="35">
        <f>VLOOKUP($B3,'Tarieven ZZP'!$B$6:$J$238,7,FALSE)</f>
        <v>1.92</v>
      </c>
      <c r="J3" s="35">
        <f>VLOOKUP($B3,'Tarieven ZZP'!$B$6:$J$238,8,FALSE)</f>
        <v>0</v>
      </c>
      <c r="K3" s="35">
        <f>VLOOKUP($B3,'Tarieven ZZP'!$B$6:$J$238,8,FALSE)</f>
        <v>0</v>
      </c>
      <c r="L3" s="384">
        <f t="shared" si="0"/>
        <v>0</v>
      </c>
      <c r="M3" s="283" t="e">
        <f t="shared" ref="M3:M48" si="2">SUM(N3:O3)</f>
        <v>#DIV/0!</v>
      </c>
      <c r="N3" s="385" t="e">
        <f t="shared" si="1"/>
        <v>#DIV/0!</v>
      </c>
      <c r="O3" s="385" t="e">
        <f t="shared" ref="O3:O48" si="3">ROUND(L3/K3,2)</f>
        <v>#DIV/0!</v>
      </c>
    </row>
    <row r="4" spans="1:15" x14ac:dyDescent="0.25">
      <c r="A4" s="120">
        <v>752</v>
      </c>
      <c r="B4" s="120" t="s">
        <v>62</v>
      </c>
      <c r="C4" s="120" t="s">
        <v>3158</v>
      </c>
      <c r="D4" s="120" t="s">
        <v>2814</v>
      </c>
      <c r="E4" s="35" t="str">
        <f>VLOOKUP($B4,'Tarieven ZZP'!$B$6:$J$238,3,FALSE)</f>
        <v>Z033 ZZP 3vv incl.bh incl.db</v>
      </c>
      <c r="F4" s="35">
        <f>VLOOKUP($B4,'Tarieven ZZP'!$B$6:$J$238,4,FALSE)</f>
        <v>111.83456371587619</v>
      </c>
      <c r="G4" s="35">
        <f>VLOOKUP($B4,'Tarieven ZZP'!$B$6:$J$238,5,FALSE)</f>
        <v>38.215066776522747</v>
      </c>
      <c r="H4" s="35">
        <f>VLOOKUP($B4,'Tarieven ZZP'!$B$6:$J$238,6,FALSE)</f>
        <v>30.64</v>
      </c>
      <c r="I4" s="35">
        <f>VLOOKUP($B4,'Tarieven ZZP'!$B$6:$J$238,7,FALSE)</f>
        <v>2.59</v>
      </c>
      <c r="J4" s="35">
        <f>VLOOKUP($B4,'Tarieven ZZP'!$B$6:$J$238,8,FALSE)</f>
        <v>0</v>
      </c>
      <c r="K4" s="35">
        <f>VLOOKUP($B4,'Tarieven ZZP'!$B$6:$J$238,8,FALSE)</f>
        <v>0</v>
      </c>
      <c r="L4" s="384">
        <f t="shared" si="0"/>
        <v>0</v>
      </c>
      <c r="M4" s="283" t="e">
        <f t="shared" si="2"/>
        <v>#DIV/0!</v>
      </c>
      <c r="N4" s="385" t="e">
        <f t="shared" si="1"/>
        <v>#DIV/0!</v>
      </c>
      <c r="O4" s="385" t="e">
        <f t="shared" si="3"/>
        <v>#DIV/0!</v>
      </c>
    </row>
    <row r="5" spans="1:15" x14ac:dyDescent="0.25">
      <c r="A5" s="120">
        <v>753</v>
      </c>
      <c r="B5" s="120" t="s">
        <v>342</v>
      </c>
      <c r="C5" s="120" t="s">
        <v>3159</v>
      </c>
      <c r="D5" s="120" t="s">
        <v>2815</v>
      </c>
      <c r="E5" s="35" t="str">
        <f>VLOOKUP($B5,'Tarieven ZZP'!$B$6:$J$238,3,FALSE)</f>
        <v>Z043 ZZP 4vv incl.bh incl.db</v>
      </c>
      <c r="F5" s="35">
        <f>VLOOKUP($B5,'Tarieven ZZP'!$B$6:$J$238,4,FALSE)</f>
        <v>122.73750000000001</v>
      </c>
      <c r="G5" s="35">
        <f>VLOOKUP($B5,'Tarieven ZZP'!$B$6:$J$238,5,FALSE)</f>
        <v>40.912500000000001</v>
      </c>
      <c r="H5" s="35">
        <f>VLOOKUP($B5,'Tarieven ZZP'!$B$6:$J$238,6,FALSE)</f>
        <v>31.09</v>
      </c>
      <c r="I5" s="35">
        <f>VLOOKUP($B5,'Tarieven ZZP'!$B$6:$J$238,7,FALSE)</f>
        <v>2.59</v>
      </c>
      <c r="J5" s="35">
        <f>VLOOKUP($B5,'Tarieven ZZP'!$B$6:$J$238,8,FALSE)</f>
        <v>0</v>
      </c>
      <c r="K5" s="35">
        <f>VLOOKUP($B5,'Tarieven ZZP'!$B$6:$J$238,8,FALSE)</f>
        <v>0</v>
      </c>
      <c r="L5" s="384">
        <f t="shared" si="0"/>
        <v>0</v>
      </c>
      <c r="M5" s="283" t="e">
        <f t="shared" si="2"/>
        <v>#DIV/0!</v>
      </c>
      <c r="N5" s="385" t="e">
        <f t="shared" si="1"/>
        <v>#DIV/0!</v>
      </c>
      <c r="O5" s="385" t="e">
        <f t="shared" si="3"/>
        <v>#DIV/0!</v>
      </c>
    </row>
    <row r="6" spans="1:15" x14ac:dyDescent="0.25">
      <c r="A6" s="120">
        <v>754</v>
      </c>
      <c r="B6" s="120" t="s">
        <v>270</v>
      </c>
      <c r="C6" s="120" t="s">
        <v>3160</v>
      </c>
      <c r="D6" s="120" t="s">
        <v>2816</v>
      </c>
      <c r="E6" s="35" t="str">
        <f>VLOOKUP($B6,'Tarieven ZZP'!$B$6:$J$238,3,FALSE)</f>
        <v>Z053 ZZP 5vv incl.bh incl.db</v>
      </c>
      <c r="F6" s="35">
        <f>VLOOKUP($B6,'Tarieven ZZP'!$B$6:$J$238,4,FALSE)</f>
        <v>161.22</v>
      </c>
      <c r="G6" s="35">
        <f>VLOOKUP($B6,'Tarieven ZZP'!$B$6:$J$238,5,FALSE)</f>
        <v>53.74</v>
      </c>
      <c r="H6" s="35">
        <f>VLOOKUP($B6,'Tarieven ZZP'!$B$6:$J$238,6,FALSE)</f>
        <v>31.09</v>
      </c>
      <c r="I6" s="35">
        <f>VLOOKUP($B6,'Tarieven ZZP'!$B$6:$J$238,7,FALSE)</f>
        <v>4</v>
      </c>
      <c r="J6" s="35">
        <f>VLOOKUP($B6,'Tarieven ZZP'!$B$6:$J$238,8,FALSE)</f>
        <v>0</v>
      </c>
      <c r="K6" s="35">
        <f>VLOOKUP($B6,'Tarieven ZZP'!$B$6:$J$238,8,FALSE)</f>
        <v>0</v>
      </c>
      <c r="L6" s="384">
        <f t="shared" si="0"/>
        <v>0</v>
      </c>
      <c r="M6" s="283" t="e">
        <f t="shared" si="2"/>
        <v>#DIV/0!</v>
      </c>
      <c r="N6" s="385" t="e">
        <f t="shared" si="1"/>
        <v>#DIV/0!</v>
      </c>
      <c r="O6" s="385" t="e">
        <f t="shared" si="3"/>
        <v>#DIV/0!</v>
      </c>
    </row>
    <row r="7" spans="1:15" x14ac:dyDescent="0.25">
      <c r="A7" s="120">
        <v>755</v>
      </c>
      <c r="B7" s="120" t="s">
        <v>284</v>
      </c>
      <c r="C7" s="120" t="s">
        <v>3161</v>
      </c>
      <c r="D7" s="120" t="s">
        <v>2817</v>
      </c>
      <c r="E7" s="35" t="str">
        <f>VLOOKUP($B7,'Tarieven ZZP'!$B$6:$J$238,3,FALSE)</f>
        <v>Z063 ZZP 6vv incl.bh incl.db</v>
      </c>
      <c r="F7" s="35">
        <f>VLOOKUP($B7,'Tarieven ZZP'!$B$6:$J$238,4,FALSE)</f>
        <v>161.5275</v>
      </c>
      <c r="G7" s="35">
        <f>VLOOKUP($B7,'Tarieven ZZP'!$B$6:$J$238,5,FALSE)</f>
        <v>53.842500000000001</v>
      </c>
      <c r="H7" s="35">
        <f>VLOOKUP($B7,'Tarieven ZZP'!$B$6:$J$238,6,FALSE)</f>
        <v>31.77</v>
      </c>
      <c r="I7" s="35">
        <f>VLOOKUP($B7,'Tarieven ZZP'!$B$6:$J$238,7,FALSE)</f>
        <v>4</v>
      </c>
      <c r="J7" s="35">
        <f>VLOOKUP($B7,'Tarieven ZZP'!$B$6:$J$238,8,FALSE)</f>
        <v>0</v>
      </c>
      <c r="K7" s="35">
        <f>VLOOKUP($B7,'Tarieven ZZP'!$B$6:$J$238,8,FALSE)</f>
        <v>0</v>
      </c>
      <c r="L7" s="384">
        <f t="shared" si="0"/>
        <v>0</v>
      </c>
      <c r="M7" s="283" t="e">
        <f t="shared" si="2"/>
        <v>#DIV/0!</v>
      </c>
      <c r="N7" s="385" t="e">
        <f t="shared" si="1"/>
        <v>#DIV/0!</v>
      </c>
      <c r="O7" s="385" t="e">
        <f t="shared" si="3"/>
        <v>#DIV/0!</v>
      </c>
    </row>
    <row r="8" spans="1:15" x14ac:dyDescent="0.25">
      <c r="A8" s="120">
        <v>756</v>
      </c>
      <c r="B8" s="120" t="s">
        <v>164</v>
      </c>
      <c r="C8" s="120" t="s">
        <v>3162</v>
      </c>
      <c r="D8" s="120" t="s">
        <v>2818</v>
      </c>
      <c r="E8" s="35" t="str">
        <f>VLOOKUP($B8,'Tarieven ZZP'!$B$6:$J$238,3,FALSE)</f>
        <v>Z073 ZZP 7vv incl.bh incl.db</v>
      </c>
      <c r="F8" s="35">
        <f>VLOOKUP($B8,'Tarieven ZZP'!$B$6:$J$238,4,FALSE)</f>
        <v>192.3075</v>
      </c>
      <c r="G8" s="35">
        <f>VLOOKUP($B8,'Tarieven ZZP'!$B$6:$J$238,5,FALSE)</f>
        <v>64.102500000000006</v>
      </c>
      <c r="H8" s="35">
        <f>VLOOKUP($B8,'Tarieven ZZP'!$B$6:$J$238,6,FALSE)</f>
        <v>32.75</v>
      </c>
      <c r="I8" s="35">
        <f>VLOOKUP($B8,'Tarieven ZZP'!$B$6:$J$238,7,FALSE)</f>
        <v>4</v>
      </c>
      <c r="J8" s="35">
        <f>VLOOKUP($B8,'Tarieven ZZP'!$B$6:$J$238,8,FALSE)</f>
        <v>0</v>
      </c>
      <c r="K8" s="35">
        <f>VLOOKUP($B8,'Tarieven ZZP'!$B$6:$J$238,8,FALSE)</f>
        <v>0</v>
      </c>
      <c r="L8" s="384">
        <f t="shared" si="0"/>
        <v>0</v>
      </c>
      <c r="M8" s="283" t="e">
        <f t="shared" si="2"/>
        <v>#DIV/0!</v>
      </c>
      <c r="N8" s="385" t="e">
        <f t="shared" si="1"/>
        <v>#DIV/0!</v>
      </c>
      <c r="O8" s="385" t="e">
        <f t="shared" si="3"/>
        <v>#DIV/0!</v>
      </c>
    </row>
    <row r="9" spans="1:15" x14ac:dyDescent="0.25">
      <c r="A9" s="120">
        <v>757</v>
      </c>
      <c r="B9" s="120" t="s">
        <v>371</v>
      </c>
      <c r="C9" s="120" t="s">
        <v>3163</v>
      </c>
      <c r="D9" s="120" t="s">
        <v>2819</v>
      </c>
      <c r="E9" s="35" t="str">
        <f>VLOOKUP($B9,'Tarieven ZZP'!$B$6:$J$238,3,FALSE)</f>
        <v>Z083 ZZP 8vv incl.bh incl.db</v>
      </c>
      <c r="F9" s="35">
        <f>VLOOKUP($B9,'Tarieven ZZP'!$B$6:$J$238,4,FALSE)</f>
        <v>219.40500000000003</v>
      </c>
      <c r="G9" s="35">
        <f>VLOOKUP($B9,'Tarieven ZZP'!$B$6:$J$238,5,FALSE)</f>
        <v>73.135000000000005</v>
      </c>
      <c r="H9" s="35">
        <f>VLOOKUP($B9,'Tarieven ZZP'!$B$6:$J$238,6,FALSE)</f>
        <v>33.69</v>
      </c>
      <c r="I9" s="35">
        <f>VLOOKUP($B9,'Tarieven ZZP'!$B$6:$J$238,7,FALSE)</f>
        <v>5.1100000000000003</v>
      </c>
      <c r="J9" s="35">
        <f>VLOOKUP($B9,'Tarieven ZZP'!$B$6:$J$238,8,FALSE)</f>
        <v>0</v>
      </c>
      <c r="K9" s="35">
        <f>VLOOKUP($B9,'Tarieven ZZP'!$B$6:$J$238,8,FALSE)</f>
        <v>0</v>
      </c>
      <c r="L9" s="384">
        <f t="shared" si="0"/>
        <v>0</v>
      </c>
      <c r="M9" s="283" t="e">
        <f t="shared" si="2"/>
        <v>#DIV/0!</v>
      </c>
      <c r="N9" s="385" t="e">
        <f t="shared" si="1"/>
        <v>#DIV/0!</v>
      </c>
      <c r="O9" s="385" t="e">
        <f t="shared" si="3"/>
        <v>#DIV/0!</v>
      </c>
    </row>
    <row r="10" spans="1:15" x14ac:dyDescent="0.25">
      <c r="A10" s="120">
        <v>191</v>
      </c>
      <c r="B10" s="120" t="s">
        <v>570</v>
      </c>
      <c r="C10" s="120" t="s">
        <v>3164</v>
      </c>
      <c r="D10" s="120" t="s">
        <v>2820</v>
      </c>
      <c r="E10" s="35" t="str">
        <f>VLOOKUP($B10,'Tarieven ZZP'!$B$6:$J$238,3,FALSE)</f>
        <v>Z097 ZZP 9bvv incl.bh incl.db</v>
      </c>
      <c r="F10" s="35">
        <f>VLOOKUP($B10,'Tarieven ZZP'!$B$6:$J$238,4,FALSE)</f>
        <v>191.54249999999999</v>
      </c>
      <c r="G10" s="35">
        <f>VLOOKUP($B10,'Tarieven ZZP'!$B$6:$J$238,5,FALSE)</f>
        <v>63.847499999999997</v>
      </c>
      <c r="H10" s="35">
        <f>VLOOKUP($B10,'Tarieven ZZP'!$B$6:$J$238,6,FALSE)</f>
        <v>39.82</v>
      </c>
      <c r="I10" s="35">
        <f>VLOOKUP($B10,'Tarieven ZZP'!$B$6:$J$238,7,FALSE)</f>
        <v>5.42</v>
      </c>
      <c r="J10" s="35">
        <f>VLOOKUP($B10,'Tarieven ZZP'!$B$6:$J$238,8,FALSE)</f>
        <v>0</v>
      </c>
      <c r="K10" s="35">
        <f>VLOOKUP($B10,'Tarieven ZZP'!$B$6:$J$238,8,FALSE)</f>
        <v>0</v>
      </c>
      <c r="L10" s="384">
        <f t="shared" si="0"/>
        <v>0</v>
      </c>
      <c r="M10" s="283" t="e">
        <f t="shared" si="2"/>
        <v>#DIV/0!</v>
      </c>
      <c r="N10" s="385" t="e">
        <f t="shared" si="1"/>
        <v>#DIV/0!</v>
      </c>
      <c r="O10" s="385" t="e">
        <f t="shared" si="3"/>
        <v>#DIV/0!</v>
      </c>
    </row>
    <row r="11" spans="1:15" x14ac:dyDescent="0.25">
      <c r="A11" s="120">
        <v>759</v>
      </c>
      <c r="B11" s="120" t="s">
        <v>130</v>
      </c>
      <c r="C11" s="120" t="s">
        <v>3165</v>
      </c>
      <c r="D11" s="120" t="s">
        <v>2821</v>
      </c>
      <c r="E11" s="35" t="str">
        <f>VLOOKUP($B11,'Tarieven ZZP'!$B$6:$J$238,3,FALSE)</f>
        <v>Z103 ZZP 10vv incl.bh incl.db</v>
      </c>
      <c r="F11" s="35">
        <f>VLOOKUP($B11,'Tarieven ZZP'!$B$6:$J$238,4,FALSE)</f>
        <v>237.34499999999997</v>
      </c>
      <c r="G11" s="35">
        <f>VLOOKUP($B11,'Tarieven ZZP'!$B$6:$J$238,5,FALSE)</f>
        <v>79.114999999999995</v>
      </c>
      <c r="H11" s="35">
        <f>VLOOKUP($B11,'Tarieven ZZP'!$B$6:$J$238,6,FALSE)</f>
        <v>33.69</v>
      </c>
      <c r="I11" s="35">
        <f>VLOOKUP($B11,'Tarieven ZZP'!$B$6:$J$238,7,FALSE)</f>
        <v>4</v>
      </c>
      <c r="J11" s="35">
        <f>VLOOKUP($B11,'Tarieven ZZP'!$B$6:$J$238,8,FALSE)</f>
        <v>0</v>
      </c>
      <c r="K11" s="35">
        <f>VLOOKUP($B11,'Tarieven ZZP'!$B$6:$J$238,8,FALSE)</f>
        <v>0</v>
      </c>
      <c r="L11" s="384">
        <f t="shared" si="0"/>
        <v>0</v>
      </c>
      <c r="M11" s="283" t="e">
        <f t="shared" si="2"/>
        <v>#DIV/0!</v>
      </c>
      <c r="N11" s="385" t="e">
        <f t="shared" si="1"/>
        <v>#DIV/0!</v>
      </c>
      <c r="O11" s="385" t="e">
        <f t="shared" si="3"/>
        <v>#DIV/0!</v>
      </c>
    </row>
    <row r="12" spans="1:15" x14ac:dyDescent="0.25">
      <c r="A12" s="120">
        <v>860</v>
      </c>
      <c r="B12" s="120" t="s">
        <v>375</v>
      </c>
      <c r="C12" s="120" t="s">
        <v>3166</v>
      </c>
      <c r="D12" s="120" t="s">
        <v>2822</v>
      </c>
      <c r="E12" s="35" t="str">
        <f>VLOOKUP($B12,'Tarieven ZZP'!$B$6:$J$238,3,FALSE)</f>
        <v>Z212 ZZP 1ggz-b incl.bh excl.db</v>
      </c>
      <c r="F12" s="35">
        <f>VLOOKUP($B12,'Tarieven ZZP'!$B$6:$J$238,4,FALSE)</f>
        <v>52.536126454209516</v>
      </c>
      <c r="G12" s="35">
        <f>VLOOKUP($B12,'Tarieven ZZP'!$B$6:$J$238,5,FALSE)</f>
        <v>24.555894086642635</v>
      </c>
      <c r="H12" s="35">
        <f>VLOOKUP($B12,'Tarieven ZZP'!$B$6:$J$238,6,FALSE)</f>
        <v>18.25</v>
      </c>
      <c r="I12" s="35">
        <f>VLOOKUP($B12,'Tarieven ZZP'!$B$6:$J$238,7,FALSE)</f>
        <v>2.2799999999999998</v>
      </c>
      <c r="J12" s="35">
        <f>VLOOKUP($B12,'Tarieven ZZP'!$B$6:$J$238,8,FALSE)</f>
        <v>0</v>
      </c>
      <c r="K12" s="429">
        <f>VLOOKUP($B12,'Tarieven ZZP'!$B$6:$J$238,8,FALSE)</f>
        <v>0</v>
      </c>
      <c r="L12" s="384">
        <f t="shared" si="0"/>
        <v>0</v>
      </c>
      <c r="M12" s="283" t="e">
        <f t="shared" si="2"/>
        <v>#DIV/0!</v>
      </c>
      <c r="N12" s="385" t="e">
        <f t="shared" si="1"/>
        <v>#DIV/0!</v>
      </c>
      <c r="O12" s="385" t="e">
        <f t="shared" si="3"/>
        <v>#DIV/0!</v>
      </c>
    </row>
    <row r="13" spans="1:15" x14ac:dyDescent="0.25">
      <c r="A13" s="120">
        <v>862</v>
      </c>
      <c r="B13" s="120" t="s">
        <v>315</v>
      </c>
      <c r="C13" s="120" t="s">
        <v>3167</v>
      </c>
      <c r="D13" s="120" t="s">
        <v>2823</v>
      </c>
      <c r="E13" s="35" t="str">
        <f>VLOOKUP($B13,'Tarieven ZZP'!$B$6:$J$238,3,FALSE)</f>
        <v>Z222 ZZP 2ggz-b incl.bh excl.db</v>
      </c>
      <c r="F13" s="35">
        <f>VLOOKUP($B13,'Tarieven ZZP'!$B$6:$J$238,4,FALSE)</f>
        <v>111.16601617252569</v>
      </c>
      <c r="G13" s="35">
        <f>VLOOKUP($B13,'Tarieven ZZP'!$B$6:$J$238,5,FALSE)</f>
        <v>27.819209796349149</v>
      </c>
      <c r="H13" s="35">
        <f>VLOOKUP($B13,'Tarieven ZZP'!$B$6:$J$238,6,FALSE)</f>
        <v>18.25</v>
      </c>
      <c r="I13" s="35">
        <f>VLOOKUP($B13,'Tarieven ZZP'!$B$6:$J$238,7,FALSE)</f>
        <v>2.2799999999999998</v>
      </c>
      <c r="J13" s="35">
        <f>VLOOKUP($B13,'Tarieven ZZP'!$B$6:$J$238,8,FALSE)</f>
        <v>0</v>
      </c>
      <c r="K13" s="429">
        <f>VLOOKUP($B13,'Tarieven ZZP'!$B$6:$J$238,8,FALSE)</f>
        <v>0</v>
      </c>
      <c r="L13" s="384">
        <f t="shared" si="0"/>
        <v>0</v>
      </c>
      <c r="M13" s="283" t="e">
        <f t="shared" si="2"/>
        <v>#DIV/0!</v>
      </c>
      <c r="N13" s="385" t="e">
        <f t="shared" si="1"/>
        <v>#DIV/0!</v>
      </c>
      <c r="O13" s="385" t="e">
        <f t="shared" si="3"/>
        <v>#DIV/0!</v>
      </c>
    </row>
    <row r="14" spans="1:15" x14ac:dyDescent="0.25">
      <c r="A14" s="120">
        <v>864</v>
      </c>
      <c r="B14" s="120" t="s">
        <v>213</v>
      </c>
      <c r="C14" s="120" t="s">
        <v>3168</v>
      </c>
      <c r="D14" s="120" t="s">
        <v>2824</v>
      </c>
      <c r="E14" s="35" t="str">
        <f>VLOOKUP($B14,'Tarieven ZZP'!$B$6:$J$238,3,FALSE)</f>
        <v>Z232 ZZP 3ggz-b incl.bh excl.db</v>
      </c>
      <c r="F14" s="35">
        <f>VLOOKUP($B14,'Tarieven ZZP'!$B$6:$J$238,4,FALSE)</f>
        <v>105.7189511087348</v>
      </c>
      <c r="G14" s="35">
        <f>VLOOKUP($B14,'Tarieven ZZP'!$B$6:$J$238,5,FALSE)</f>
        <v>34.003719254977142</v>
      </c>
      <c r="H14" s="35">
        <f>VLOOKUP($B14,'Tarieven ZZP'!$B$6:$J$238,6,FALSE)</f>
        <v>24.28</v>
      </c>
      <c r="I14" s="35">
        <f>VLOOKUP($B14,'Tarieven ZZP'!$B$6:$J$238,7,FALSE)</f>
        <v>5.55</v>
      </c>
      <c r="J14" s="35">
        <f>VLOOKUP($B14,'Tarieven ZZP'!$B$6:$J$238,8,FALSE)</f>
        <v>0</v>
      </c>
      <c r="K14" s="429">
        <f>VLOOKUP($B14,'Tarieven ZZP'!$B$6:$J$238,8,FALSE)</f>
        <v>0</v>
      </c>
      <c r="L14" s="384">
        <f t="shared" si="0"/>
        <v>0</v>
      </c>
      <c r="M14" s="283" t="e">
        <f t="shared" si="2"/>
        <v>#DIV/0!</v>
      </c>
      <c r="N14" s="385" t="e">
        <f t="shared" si="1"/>
        <v>#DIV/0!</v>
      </c>
      <c r="O14" s="385" t="e">
        <f t="shared" si="3"/>
        <v>#DIV/0!</v>
      </c>
    </row>
    <row r="15" spans="1:15" x14ac:dyDescent="0.25">
      <c r="A15" s="120">
        <v>766</v>
      </c>
      <c r="B15" s="120" t="s">
        <v>335</v>
      </c>
      <c r="C15" s="120" t="s">
        <v>3169</v>
      </c>
      <c r="D15" s="120" t="s">
        <v>2825</v>
      </c>
      <c r="E15" s="35" t="str">
        <f>VLOOKUP($B15,'Tarieven ZZP'!$B$6:$J$238,3,FALSE)</f>
        <v>Z242 ZZP 4ggz-b incl.bh excl.db</v>
      </c>
      <c r="F15" s="35">
        <f>VLOOKUP($B15,'Tarieven ZZP'!$B$6:$J$238,4,FALSE)</f>
        <v>107.3329333215767</v>
      </c>
      <c r="G15" s="35">
        <f>VLOOKUP($B15,'Tarieven ZZP'!$B$6:$J$238,5,FALSE)</f>
        <v>37.901274069223369</v>
      </c>
      <c r="H15" s="35">
        <f>VLOOKUP($B15,'Tarieven ZZP'!$B$6:$J$238,6,FALSE)</f>
        <v>24.28</v>
      </c>
      <c r="I15" s="35">
        <f>VLOOKUP($B15,'Tarieven ZZP'!$B$6:$J$238,7,FALSE)</f>
        <v>5.55</v>
      </c>
      <c r="J15" s="35">
        <f>VLOOKUP($B15,'Tarieven ZZP'!$B$6:$J$238,8,FALSE)</f>
        <v>0</v>
      </c>
      <c r="K15" s="429">
        <f>VLOOKUP($B15,'Tarieven ZZP'!$B$6:$J$238,8,FALSE)</f>
        <v>0</v>
      </c>
      <c r="L15" s="384">
        <f t="shared" si="0"/>
        <v>0</v>
      </c>
      <c r="M15" s="283" t="e">
        <f t="shared" si="2"/>
        <v>#DIV/0!</v>
      </c>
      <c r="N15" s="385" t="e">
        <f t="shared" si="1"/>
        <v>#DIV/0!</v>
      </c>
      <c r="O15" s="385" t="e">
        <f t="shared" si="3"/>
        <v>#DIV/0!</v>
      </c>
    </row>
    <row r="16" spans="1:15" x14ac:dyDescent="0.25">
      <c r="A16" s="120">
        <v>768</v>
      </c>
      <c r="B16" s="120" t="s">
        <v>194</v>
      </c>
      <c r="C16" s="120" t="s">
        <v>3170</v>
      </c>
      <c r="D16" s="120" t="s">
        <v>2826</v>
      </c>
      <c r="E16" s="35" t="str">
        <f>VLOOKUP($B16,'Tarieven ZZP'!$B$6:$J$238,3,FALSE)</f>
        <v>Z252 ZZP 5ggz-b incl.bh excl.db</v>
      </c>
      <c r="F16" s="35">
        <f>VLOOKUP($B16,'Tarieven ZZP'!$B$6:$J$238,4,FALSE)</f>
        <v>111.44359364923433</v>
      </c>
      <c r="G16" s="35">
        <f>VLOOKUP($B16,'Tarieven ZZP'!$B$6:$J$238,5,FALSE)</f>
        <v>42.372538673894169</v>
      </c>
      <c r="H16" s="35">
        <f>VLOOKUP($B16,'Tarieven ZZP'!$B$6:$J$238,6,FALSE)</f>
        <v>33.020000000000003</v>
      </c>
      <c r="I16" s="35">
        <f>VLOOKUP($B16,'Tarieven ZZP'!$B$6:$J$238,7,FALSE)</f>
        <v>5.55</v>
      </c>
      <c r="J16" s="35">
        <f>VLOOKUP($B16,'Tarieven ZZP'!$B$6:$J$238,8,FALSE)</f>
        <v>0</v>
      </c>
      <c r="K16" s="429">
        <f>VLOOKUP($B16,'Tarieven ZZP'!$B$6:$J$238,8,FALSE)</f>
        <v>0</v>
      </c>
      <c r="L16" s="384">
        <f t="shared" si="0"/>
        <v>0</v>
      </c>
      <c r="M16" s="283" t="e">
        <f t="shared" si="2"/>
        <v>#DIV/0!</v>
      </c>
      <c r="N16" s="385" t="e">
        <f t="shared" si="1"/>
        <v>#DIV/0!</v>
      </c>
      <c r="O16" s="385" t="e">
        <f t="shared" si="3"/>
        <v>#DIV/0!</v>
      </c>
    </row>
    <row r="17" spans="1:15" x14ac:dyDescent="0.25">
      <c r="A17" s="120">
        <v>770</v>
      </c>
      <c r="B17" s="120" t="s">
        <v>154</v>
      </c>
      <c r="C17" s="120" t="s">
        <v>3171</v>
      </c>
      <c r="D17" s="120" t="s">
        <v>2827</v>
      </c>
      <c r="E17" s="35" t="str">
        <f>VLOOKUP($B17,'Tarieven ZZP'!$B$6:$J$238,3,FALSE)</f>
        <v>Z262 ZZP 6ggz-b incl.bh excl.db</v>
      </c>
      <c r="F17" s="35">
        <f>VLOOKUP($B17,'Tarieven ZZP'!$B$6:$J$238,4,FALSE)</f>
        <v>239.40715200665261</v>
      </c>
      <c r="G17" s="35">
        <f>VLOOKUP($B17,'Tarieven ZZP'!$B$6:$J$238,5,FALSE)</f>
        <v>58.444011775354397</v>
      </c>
      <c r="H17" s="35">
        <f>VLOOKUP($B17,'Tarieven ZZP'!$B$6:$J$238,6,FALSE)</f>
        <v>29.95</v>
      </c>
      <c r="I17" s="35">
        <f>VLOOKUP($B17,'Tarieven ZZP'!$B$6:$J$238,7,FALSE)</f>
        <v>5.55</v>
      </c>
      <c r="J17" s="35">
        <f>VLOOKUP($B17,'Tarieven ZZP'!$B$6:$J$238,8,FALSE)</f>
        <v>0</v>
      </c>
      <c r="K17" s="429">
        <f>VLOOKUP($B17,'Tarieven ZZP'!$B$6:$J$238,8,FALSE)</f>
        <v>0</v>
      </c>
      <c r="L17" s="384">
        <f t="shared" si="0"/>
        <v>0</v>
      </c>
      <c r="M17" s="283" t="e">
        <f t="shared" si="2"/>
        <v>#DIV/0!</v>
      </c>
      <c r="N17" s="385" t="e">
        <f t="shared" si="1"/>
        <v>#DIV/0!</v>
      </c>
      <c r="O17" s="385" t="e">
        <f t="shared" si="3"/>
        <v>#DIV/0!</v>
      </c>
    </row>
    <row r="18" spans="1:15" x14ac:dyDescent="0.25">
      <c r="A18" s="120">
        <v>772</v>
      </c>
      <c r="B18" s="120" t="s">
        <v>260</v>
      </c>
      <c r="C18" s="120" t="s">
        <v>3172</v>
      </c>
      <c r="D18" s="120" t="s">
        <v>2828</v>
      </c>
      <c r="E18" s="35" t="str">
        <f>VLOOKUP($B18,'Tarieven ZZP'!$B$6:$J$238,3,FALSE)</f>
        <v>Z272 ZZP 7ggz-b incl.bh excl.db</v>
      </c>
      <c r="F18" s="35">
        <f>VLOOKUP($B18,'Tarieven ZZP'!$B$6:$J$238,4,FALSE)</f>
        <v>270.95391453621744</v>
      </c>
      <c r="G18" s="35">
        <f>VLOOKUP($B18,'Tarieven ZZP'!$B$6:$J$238,5,FALSE)</f>
        <v>60.666130757409924</v>
      </c>
      <c r="H18" s="35">
        <f>VLOOKUP($B18,'Tarieven ZZP'!$B$6:$J$238,6,FALSE)</f>
        <v>34.25</v>
      </c>
      <c r="I18" s="35">
        <f>VLOOKUP($B18,'Tarieven ZZP'!$B$6:$J$238,7,FALSE)</f>
        <v>5.55</v>
      </c>
      <c r="J18" s="35">
        <f>VLOOKUP($B18,'Tarieven ZZP'!$B$6:$J$238,8,FALSE)</f>
        <v>0</v>
      </c>
      <c r="K18" s="429">
        <f>VLOOKUP($B18,'Tarieven ZZP'!$B$6:$J$238,8,FALSE)</f>
        <v>0</v>
      </c>
      <c r="L18" s="384">
        <f t="shared" si="0"/>
        <v>0</v>
      </c>
      <c r="M18" s="283" t="e">
        <f t="shared" si="2"/>
        <v>#DIV/0!</v>
      </c>
      <c r="N18" s="385" t="e">
        <f t="shared" si="1"/>
        <v>#DIV/0!</v>
      </c>
      <c r="O18" s="385" t="e">
        <f t="shared" si="3"/>
        <v>#DIV/0!</v>
      </c>
    </row>
    <row r="19" spans="1:15" x14ac:dyDescent="0.25">
      <c r="A19" s="120">
        <v>800</v>
      </c>
      <c r="B19" s="120" t="s">
        <v>175</v>
      </c>
      <c r="C19" s="120" t="s">
        <v>3180</v>
      </c>
      <c r="D19" s="120" t="s">
        <v>2836</v>
      </c>
      <c r="E19" s="35" t="str">
        <f>VLOOKUP($B19,'Tarieven ZZP'!$B$6:$J$238,3,FALSE)</f>
        <v>Z414 ZZP 1vg excl.db</v>
      </c>
      <c r="F19" s="35">
        <f>VLOOKUP($B19,'Tarieven ZZP'!$B$6:$J$238,4,FALSE)</f>
        <v>34.807575584330735</v>
      </c>
      <c r="G19" s="35">
        <f>VLOOKUP($B19,'Tarieven ZZP'!$B$6:$J$238,5,FALSE)</f>
        <v>21.937928070118478</v>
      </c>
      <c r="H19" s="35">
        <f>VLOOKUP($B19,'Tarieven ZZP'!$B$6:$J$238,6,FALSE)</f>
        <v>24.54</v>
      </c>
      <c r="I19" s="35">
        <f>VLOOKUP($B19,'Tarieven ZZP'!$B$6:$J$238,7,FALSE)</f>
        <v>1.18</v>
      </c>
      <c r="J19" s="35">
        <f>VLOOKUP($B19,'Tarieven ZZP'!$B$6:$J$238,8,FALSE)</f>
        <v>0</v>
      </c>
      <c r="K19" s="429">
        <f>VLOOKUP($B19,'Tarieven ZZP'!$B$6:$J$238,8,FALSE)</f>
        <v>0</v>
      </c>
      <c r="L19" s="384">
        <f t="shared" si="0"/>
        <v>0</v>
      </c>
      <c r="M19" s="283" t="e">
        <f t="shared" si="2"/>
        <v>#DIV/0!</v>
      </c>
      <c r="N19" s="385" t="e">
        <f t="shared" si="1"/>
        <v>#DIV/0!</v>
      </c>
      <c r="O19" s="385" t="e">
        <f t="shared" si="3"/>
        <v>#DIV/0!</v>
      </c>
    </row>
    <row r="20" spans="1:15" x14ac:dyDescent="0.25">
      <c r="A20" s="120">
        <v>802</v>
      </c>
      <c r="B20" s="120" t="s">
        <v>67</v>
      </c>
      <c r="C20" s="120" t="s">
        <v>3181</v>
      </c>
      <c r="D20" s="120" t="s">
        <v>2837</v>
      </c>
      <c r="E20" s="35" t="str">
        <f>VLOOKUP($B20,'Tarieven ZZP'!$B$6:$J$238,3,FALSE)</f>
        <v>Z424 ZZP 2vg excl.db</v>
      </c>
      <c r="F20" s="35">
        <f>VLOOKUP($B20,'Tarieven ZZP'!$B$6:$J$238,4,FALSE)</f>
        <v>47.537407046480602</v>
      </c>
      <c r="G20" s="35">
        <f>VLOOKUP($B20,'Tarieven ZZP'!$B$6:$J$238,5,FALSE)</f>
        <v>22.688109985819462</v>
      </c>
      <c r="H20" s="35">
        <f>VLOOKUP($B20,'Tarieven ZZP'!$B$6:$J$238,6,FALSE)</f>
        <v>24.54</v>
      </c>
      <c r="I20" s="35">
        <f>VLOOKUP($B20,'Tarieven ZZP'!$B$6:$J$238,7,FALSE)</f>
        <v>1.18</v>
      </c>
      <c r="J20" s="35">
        <f>VLOOKUP($B20,'Tarieven ZZP'!$B$6:$J$238,8,FALSE)</f>
        <v>0</v>
      </c>
      <c r="K20" s="429">
        <f>VLOOKUP($B20,'Tarieven ZZP'!$B$6:$J$238,8,FALSE)</f>
        <v>0</v>
      </c>
      <c r="L20" s="384">
        <f t="shared" si="0"/>
        <v>0</v>
      </c>
      <c r="M20" s="283" t="e">
        <f t="shared" si="2"/>
        <v>#DIV/0!</v>
      </c>
      <c r="N20" s="385" t="e">
        <f t="shared" si="1"/>
        <v>#DIV/0!</v>
      </c>
      <c r="O20" s="385" t="e">
        <f t="shared" si="3"/>
        <v>#DIV/0!</v>
      </c>
    </row>
    <row r="21" spans="1:15" x14ac:dyDescent="0.25">
      <c r="A21" s="120">
        <v>804</v>
      </c>
      <c r="B21" s="120" t="s">
        <v>313</v>
      </c>
      <c r="C21" s="120" t="s">
        <v>3196</v>
      </c>
      <c r="D21" s="120" t="s">
        <v>2852</v>
      </c>
      <c r="E21" s="35" t="str">
        <f>VLOOKUP($B21,'Tarieven ZZP'!$B$6:$J$238,3,FALSE)</f>
        <v>Z432 ZZP 3vg incl.bh excl.db</v>
      </c>
      <c r="F21" s="35">
        <f>VLOOKUP($B21,'Tarieven ZZP'!$B$6:$J$238,4,FALSE)</f>
        <v>86.21858950541484</v>
      </c>
      <c r="G21" s="35">
        <f>VLOOKUP($B21,'Tarieven ZZP'!$B$6:$J$238,5,FALSE)</f>
        <v>30.373152996606457</v>
      </c>
      <c r="H21" s="35">
        <f>VLOOKUP($B21,'Tarieven ZZP'!$B$6:$J$238,6,FALSE)</f>
        <v>24.54</v>
      </c>
      <c r="I21" s="35">
        <f>VLOOKUP($B21,'Tarieven ZZP'!$B$6:$J$238,7,FALSE)</f>
        <v>2.41</v>
      </c>
      <c r="J21" s="35">
        <f>VLOOKUP($B21,'Tarieven ZZP'!$B$6:$J$238,8,FALSE)</f>
        <v>0</v>
      </c>
      <c r="K21" s="429">
        <f>VLOOKUP($B21,'Tarieven ZZP'!$B$6:$J$238,8,FALSE)</f>
        <v>0</v>
      </c>
      <c r="L21" s="384">
        <f t="shared" si="0"/>
        <v>0</v>
      </c>
      <c r="M21" s="283" t="e">
        <f t="shared" si="2"/>
        <v>#DIV/0!</v>
      </c>
      <c r="N21" s="385" t="e">
        <f t="shared" si="1"/>
        <v>#DIV/0!</v>
      </c>
      <c r="O21" s="385" t="e">
        <f t="shared" si="3"/>
        <v>#DIV/0!</v>
      </c>
    </row>
    <row r="22" spans="1:15" x14ac:dyDescent="0.25">
      <c r="A22" s="120">
        <v>806</v>
      </c>
      <c r="B22" s="120" t="s">
        <v>185</v>
      </c>
      <c r="C22" s="120" t="s">
        <v>3197</v>
      </c>
      <c r="D22" s="120" t="s">
        <v>2853</v>
      </c>
      <c r="E22" s="35" t="str">
        <f>VLOOKUP($B22,'Tarieven ZZP'!$B$6:$J$238,3,FALSE)</f>
        <v>Z442 ZZP 4vg incl.bh excl.db</v>
      </c>
      <c r="F22" s="35">
        <f>VLOOKUP($B22,'Tarieven ZZP'!$B$6:$J$238,4,FALSE)</f>
        <v>117.15381127840296</v>
      </c>
      <c r="G22" s="35">
        <f>VLOOKUP($B22,'Tarieven ZZP'!$B$6:$J$238,5,FALSE)</f>
        <v>34.945582798653817</v>
      </c>
      <c r="H22" s="35">
        <f>VLOOKUP($B22,'Tarieven ZZP'!$B$6:$J$238,6,FALSE)</f>
        <v>24.54</v>
      </c>
      <c r="I22" s="35">
        <f>VLOOKUP($B22,'Tarieven ZZP'!$B$6:$J$238,7,FALSE)</f>
        <v>2.41</v>
      </c>
      <c r="J22" s="35">
        <f>VLOOKUP($B22,'Tarieven ZZP'!$B$6:$J$238,8,FALSE)</f>
        <v>0</v>
      </c>
      <c r="K22" s="429">
        <f>VLOOKUP($B22,'Tarieven ZZP'!$B$6:$J$238,8,FALSE)</f>
        <v>0</v>
      </c>
      <c r="L22" s="384">
        <f t="shared" si="0"/>
        <v>0</v>
      </c>
      <c r="M22" s="283" t="e">
        <f t="shared" si="2"/>
        <v>#DIV/0!</v>
      </c>
      <c r="N22" s="385" t="e">
        <f t="shared" si="1"/>
        <v>#DIV/0!</v>
      </c>
      <c r="O22" s="385" t="e">
        <f t="shared" si="3"/>
        <v>#DIV/0!</v>
      </c>
    </row>
    <row r="23" spans="1:15" x14ac:dyDescent="0.25">
      <c r="A23" s="120">
        <v>808</v>
      </c>
      <c r="B23" s="120" t="s">
        <v>226</v>
      </c>
      <c r="C23" s="120" t="s">
        <v>3198</v>
      </c>
      <c r="D23" s="120" t="s">
        <v>2854</v>
      </c>
      <c r="E23" s="35" t="str">
        <f>VLOOKUP($B23,'Tarieven ZZP'!$B$6:$J$238,3,FALSE)</f>
        <v>Z456 ZZP 5vg incl.bh excl.db</v>
      </c>
      <c r="F23" s="35">
        <f>VLOOKUP($B23,'Tarieven ZZP'!$B$6:$J$238,4,FALSE)</f>
        <v>151.5464850502357</v>
      </c>
      <c r="G23" s="35">
        <f>VLOOKUP($B23,'Tarieven ZZP'!$B$6:$J$238,5,FALSE)</f>
        <v>39.167682717785944</v>
      </c>
      <c r="H23" s="35">
        <f>VLOOKUP($B23,'Tarieven ZZP'!$B$6:$J$238,6,FALSE)</f>
        <v>26.52</v>
      </c>
      <c r="I23" s="35">
        <f>VLOOKUP($B23,'Tarieven ZZP'!$B$6:$J$238,7,FALSE)</f>
        <v>7.95</v>
      </c>
      <c r="J23" s="35">
        <f>VLOOKUP($B23,'Tarieven ZZP'!$B$6:$J$238,8,FALSE)</f>
        <v>0</v>
      </c>
      <c r="K23" s="429">
        <f>VLOOKUP($B23,'Tarieven ZZP'!$B$6:$J$238,8,FALSE)</f>
        <v>0</v>
      </c>
      <c r="L23" s="384">
        <f t="shared" si="0"/>
        <v>0</v>
      </c>
      <c r="M23" s="283" t="e">
        <f t="shared" si="2"/>
        <v>#DIV/0!</v>
      </c>
      <c r="N23" s="385" t="e">
        <f t="shared" si="1"/>
        <v>#DIV/0!</v>
      </c>
      <c r="O23" s="385" t="e">
        <f t="shared" si="3"/>
        <v>#DIV/0!</v>
      </c>
    </row>
    <row r="24" spans="1:15" x14ac:dyDescent="0.25">
      <c r="A24" s="120">
        <v>810</v>
      </c>
      <c r="B24" s="120" t="s">
        <v>91</v>
      </c>
      <c r="C24" s="120" t="s">
        <v>3199</v>
      </c>
      <c r="D24" s="120" t="s">
        <v>2855</v>
      </c>
      <c r="E24" s="35" t="str">
        <f>VLOOKUP($B24,'Tarieven ZZP'!$B$6:$J$238,3,FALSE)</f>
        <v>Z462 ZZP 6vg incl.bh excl.db</v>
      </c>
      <c r="F24" s="35">
        <f>VLOOKUP($B24,'Tarieven ZZP'!$B$6:$J$238,4,FALSE)</f>
        <v>125.53112951507032</v>
      </c>
      <c r="G24" s="35">
        <f>VLOOKUP($B24,'Tarieven ZZP'!$B$6:$J$238,5,FALSE)</f>
        <v>36.957718627927548</v>
      </c>
      <c r="H24" s="35">
        <f>VLOOKUP($B24,'Tarieven ZZP'!$B$6:$J$238,6,FALSE)</f>
        <v>26.52</v>
      </c>
      <c r="I24" s="35">
        <f>VLOOKUP($B24,'Tarieven ZZP'!$B$6:$J$238,7,FALSE)</f>
        <v>5.72</v>
      </c>
      <c r="J24" s="35">
        <f>VLOOKUP($B24,'Tarieven ZZP'!$B$6:$J$238,8,FALSE)</f>
        <v>0</v>
      </c>
      <c r="K24" s="429">
        <f>VLOOKUP($B24,'Tarieven ZZP'!$B$6:$J$238,8,FALSE)</f>
        <v>0</v>
      </c>
      <c r="L24" s="384">
        <f t="shared" si="0"/>
        <v>0</v>
      </c>
      <c r="M24" s="283" t="e">
        <f t="shared" si="2"/>
        <v>#DIV/0!</v>
      </c>
      <c r="N24" s="385" t="e">
        <f t="shared" si="1"/>
        <v>#DIV/0!</v>
      </c>
      <c r="O24" s="385" t="e">
        <f t="shared" si="3"/>
        <v>#DIV/0!</v>
      </c>
    </row>
    <row r="25" spans="1:15" x14ac:dyDescent="0.25">
      <c r="A25" s="120">
        <v>812</v>
      </c>
      <c r="B25" s="120" t="s">
        <v>382</v>
      </c>
      <c r="C25" s="120" t="s">
        <v>3200</v>
      </c>
      <c r="D25" s="120" t="s">
        <v>2856</v>
      </c>
      <c r="E25" s="35" t="str">
        <f>VLOOKUP($B25,'Tarieven ZZP'!$B$6:$J$238,3,FALSE)</f>
        <v>Z472 ZZP 7vg incl.bh excl.db</v>
      </c>
      <c r="F25" s="35">
        <f>VLOOKUP($B25,'Tarieven ZZP'!$B$6:$J$238,4,FALSE)</f>
        <v>193.54835158358637</v>
      </c>
      <c r="G25" s="35">
        <f>VLOOKUP($B25,'Tarieven ZZP'!$B$6:$J$238,5,FALSE)</f>
        <v>45.962254898072935</v>
      </c>
      <c r="H25" s="35">
        <f>VLOOKUP($B25,'Tarieven ZZP'!$B$6:$J$238,6,FALSE)</f>
        <v>26.52</v>
      </c>
      <c r="I25" s="35">
        <f>VLOOKUP($B25,'Tarieven ZZP'!$B$6:$J$238,7,FALSE)</f>
        <v>7.95</v>
      </c>
      <c r="J25" s="35">
        <f>VLOOKUP($B25,'Tarieven ZZP'!$B$6:$J$238,8,FALSE)</f>
        <v>0</v>
      </c>
      <c r="K25" s="429">
        <f>VLOOKUP($B25,'Tarieven ZZP'!$B$6:$J$238,8,FALSE)</f>
        <v>0</v>
      </c>
      <c r="L25" s="384">
        <f t="shared" si="0"/>
        <v>0</v>
      </c>
      <c r="M25" s="283" t="e">
        <f t="shared" si="2"/>
        <v>#DIV/0!</v>
      </c>
      <c r="N25" s="385" t="e">
        <f t="shared" si="1"/>
        <v>#DIV/0!</v>
      </c>
      <c r="O25" s="385" t="e">
        <f t="shared" si="3"/>
        <v>#DIV/0!</v>
      </c>
    </row>
    <row r="26" spans="1:15" x14ac:dyDescent="0.25">
      <c r="A26" s="120">
        <v>814</v>
      </c>
      <c r="B26" s="120" t="s">
        <v>122</v>
      </c>
      <c r="C26" s="120" t="s">
        <v>3201</v>
      </c>
      <c r="D26" s="120" t="s">
        <v>2857</v>
      </c>
      <c r="E26" s="35" t="str">
        <f>VLOOKUP($B26,'Tarieven ZZP'!$B$6:$J$238,3,FALSE)</f>
        <v>Z482 ZZP 8vg incl.bh excl.db</v>
      </c>
      <c r="F26" s="35">
        <f>VLOOKUP($B26,'Tarieven ZZP'!$B$6:$J$238,4,FALSE)</f>
        <v>181.55492500965315</v>
      </c>
      <c r="G26" s="35">
        <f>VLOOKUP($B26,'Tarieven ZZP'!$B$6:$J$238,5,FALSE)</f>
        <v>43.298425080202847</v>
      </c>
      <c r="H26" s="35">
        <f>VLOOKUP($B26,'Tarieven ZZP'!$B$6:$J$238,6,FALSE)</f>
        <v>34.299999999999997</v>
      </c>
      <c r="I26" s="35">
        <f>VLOOKUP($B26,'Tarieven ZZP'!$B$6:$J$238,7,FALSE)</f>
        <v>7.95</v>
      </c>
      <c r="J26" s="35">
        <f>VLOOKUP($B26,'Tarieven ZZP'!$B$6:$J$238,8,FALSE)</f>
        <v>0</v>
      </c>
      <c r="K26" s="429">
        <f>VLOOKUP($B26,'Tarieven ZZP'!$B$6:$J$238,8,FALSE)</f>
        <v>0</v>
      </c>
      <c r="L26" s="384">
        <f t="shared" si="0"/>
        <v>0</v>
      </c>
      <c r="M26" s="283" t="e">
        <f t="shared" si="2"/>
        <v>#DIV/0!</v>
      </c>
      <c r="N26" s="385" t="e">
        <f t="shared" si="1"/>
        <v>#DIV/0!</v>
      </c>
      <c r="O26" s="385" t="e">
        <f t="shared" si="3"/>
        <v>#DIV/0!</v>
      </c>
    </row>
    <row r="27" spans="1:15" x14ac:dyDescent="0.25">
      <c r="A27" s="120">
        <v>780</v>
      </c>
      <c r="B27" s="120" t="s">
        <v>132</v>
      </c>
      <c r="C27" s="120" t="s">
        <v>3208</v>
      </c>
      <c r="D27" s="120" t="s">
        <v>2864</v>
      </c>
      <c r="E27" s="35" t="str">
        <f>VLOOKUP($B27,'Tarieven ZZP'!$B$6:$J$238,3,FALSE)</f>
        <v>Z513 ZZP 1lvg incl.bh incl.db</v>
      </c>
      <c r="F27" s="35">
        <f>VLOOKUP($B27,'Tarieven ZZP'!$B$6:$J$238,4,FALSE)</f>
        <v>143.7365023209382</v>
      </c>
      <c r="G27" s="35">
        <f>VLOOKUP($B27,'Tarieven ZZP'!$B$6:$J$238,5,FALSE)</f>
        <v>39.107430769130026</v>
      </c>
      <c r="H27" s="35">
        <f>VLOOKUP($B27,'Tarieven ZZP'!$B$6:$J$238,6,FALSE)</f>
        <v>32.01</v>
      </c>
      <c r="I27" s="35">
        <f>VLOOKUP($B27,'Tarieven ZZP'!$B$6:$J$238,7,FALSE)</f>
        <v>3.41</v>
      </c>
      <c r="J27" s="35">
        <f>VLOOKUP($B27,'Tarieven ZZP'!$B$6:$J$238,8,FALSE)</f>
        <v>0</v>
      </c>
      <c r="K27" s="429">
        <f>VLOOKUP($B27,'Tarieven ZZP'!$B$6:$J$238,8,FALSE)</f>
        <v>0</v>
      </c>
      <c r="L27" s="384">
        <f t="shared" si="0"/>
        <v>0</v>
      </c>
      <c r="M27" s="283" t="e">
        <f t="shared" si="2"/>
        <v>#DIV/0!</v>
      </c>
      <c r="N27" s="385" t="e">
        <f t="shared" si="1"/>
        <v>#DIV/0!</v>
      </c>
      <c r="O27" s="385" t="e">
        <f t="shared" si="3"/>
        <v>#DIV/0!</v>
      </c>
    </row>
    <row r="28" spans="1:15" x14ac:dyDescent="0.25">
      <c r="A28" s="120">
        <v>781</v>
      </c>
      <c r="B28" s="120" t="s">
        <v>388</v>
      </c>
      <c r="C28" s="120" t="s">
        <v>3209</v>
      </c>
      <c r="D28" s="120" t="s">
        <v>2865</v>
      </c>
      <c r="E28" s="35" t="str">
        <f>VLOOKUP($B28,'Tarieven ZZP'!$B$6:$J$238,3,FALSE)</f>
        <v>Z523 ZZP 2lvg incl.bh incl.db</v>
      </c>
      <c r="F28" s="35">
        <f>VLOOKUP($B28,'Tarieven ZZP'!$B$6:$J$238,4,FALSE)</f>
        <v>179.19890889130627</v>
      </c>
      <c r="G28" s="35">
        <f>VLOOKUP($B28,'Tarieven ZZP'!$B$6:$J$238,5,FALSE)</f>
        <v>44.96328708151735</v>
      </c>
      <c r="H28" s="35">
        <f>VLOOKUP($B28,'Tarieven ZZP'!$B$6:$J$238,6,FALSE)</f>
        <v>32.01</v>
      </c>
      <c r="I28" s="35">
        <f>VLOOKUP($B28,'Tarieven ZZP'!$B$6:$J$238,7,FALSE)</f>
        <v>3.41</v>
      </c>
      <c r="J28" s="35">
        <f>VLOOKUP($B28,'Tarieven ZZP'!$B$6:$J$238,8,FALSE)</f>
        <v>0</v>
      </c>
      <c r="K28" s="429">
        <f>VLOOKUP($B28,'Tarieven ZZP'!$B$6:$J$238,8,FALSE)</f>
        <v>0</v>
      </c>
      <c r="L28" s="384">
        <f t="shared" si="0"/>
        <v>0</v>
      </c>
      <c r="M28" s="283" t="e">
        <f t="shared" si="2"/>
        <v>#DIV/0!</v>
      </c>
      <c r="N28" s="385" t="e">
        <f t="shared" si="1"/>
        <v>#DIV/0!</v>
      </c>
      <c r="O28" s="385" t="e">
        <f t="shared" si="3"/>
        <v>#DIV/0!</v>
      </c>
    </row>
    <row r="29" spans="1:15" x14ac:dyDescent="0.25">
      <c r="A29" s="120">
        <v>782</v>
      </c>
      <c r="B29" s="120" t="s">
        <v>145</v>
      </c>
      <c r="C29" s="120" t="s">
        <v>3210</v>
      </c>
      <c r="D29" s="120" t="s">
        <v>2866</v>
      </c>
      <c r="E29" s="35" t="str">
        <f>VLOOKUP($B29,'Tarieven ZZP'!$B$6:$J$238,3,FALSE)</f>
        <v>Z533 ZZP 3lvg incl.bh incl.db</v>
      </c>
      <c r="F29" s="35">
        <f>VLOOKUP($B29,'Tarieven ZZP'!$B$6:$J$238,4,FALSE)</f>
        <v>235.7732969370258</v>
      </c>
      <c r="G29" s="35">
        <f>VLOOKUP($B29,'Tarieven ZZP'!$B$6:$J$238,5,FALSE)</f>
        <v>53.427060960450589</v>
      </c>
      <c r="H29" s="35">
        <f>VLOOKUP($B29,'Tarieven ZZP'!$B$6:$J$238,6,FALSE)</f>
        <v>41.64</v>
      </c>
      <c r="I29" s="35">
        <f>VLOOKUP($B29,'Tarieven ZZP'!$B$6:$J$238,7,FALSE)</f>
        <v>6.54</v>
      </c>
      <c r="J29" s="35">
        <f>VLOOKUP($B29,'Tarieven ZZP'!$B$6:$J$238,8,FALSE)</f>
        <v>0</v>
      </c>
      <c r="K29" s="429">
        <f>VLOOKUP($B29,'Tarieven ZZP'!$B$6:$J$238,8,FALSE)</f>
        <v>0</v>
      </c>
      <c r="L29" s="384">
        <f t="shared" si="0"/>
        <v>0</v>
      </c>
      <c r="M29" s="283" t="e">
        <f t="shared" si="2"/>
        <v>#DIV/0!</v>
      </c>
      <c r="N29" s="385" t="e">
        <f t="shared" si="1"/>
        <v>#DIV/0!</v>
      </c>
      <c r="O29" s="385" t="e">
        <f t="shared" si="3"/>
        <v>#DIV/0!</v>
      </c>
    </row>
    <row r="30" spans="1:15" x14ac:dyDescent="0.25">
      <c r="A30" s="120">
        <v>783</v>
      </c>
      <c r="B30" s="120" t="s">
        <v>333</v>
      </c>
      <c r="C30" s="120" t="s">
        <v>3211</v>
      </c>
      <c r="D30" s="120" t="s">
        <v>2867</v>
      </c>
      <c r="E30" s="35" t="str">
        <f>VLOOKUP($B30,'Tarieven ZZP'!$B$6:$J$238,3,FALSE)</f>
        <v>Z543 ZZP 4lvg incl.bh incl.db</v>
      </c>
      <c r="F30" s="35">
        <f>VLOOKUP($B30,'Tarieven ZZP'!$B$6:$J$238,4,FALSE)</f>
        <v>281.31474689899903</v>
      </c>
      <c r="G30" s="35">
        <f>VLOOKUP($B30,'Tarieven ZZP'!$B$6:$J$238,5,FALSE)</f>
        <v>56.024972658588425</v>
      </c>
      <c r="H30" s="35">
        <f>VLOOKUP($B30,'Tarieven ZZP'!$B$6:$J$238,6,FALSE)</f>
        <v>41.64</v>
      </c>
      <c r="I30" s="35">
        <f>VLOOKUP($B30,'Tarieven ZZP'!$B$6:$J$238,7,FALSE)</f>
        <v>6.54</v>
      </c>
      <c r="J30" s="35">
        <f>VLOOKUP($B30,'Tarieven ZZP'!$B$6:$J$238,8,FALSE)</f>
        <v>0</v>
      </c>
      <c r="K30" s="429">
        <f>VLOOKUP($B30,'Tarieven ZZP'!$B$6:$J$238,8,FALSE)</f>
        <v>0</v>
      </c>
      <c r="L30" s="384">
        <f t="shared" si="0"/>
        <v>0</v>
      </c>
      <c r="M30" s="283" t="e">
        <f t="shared" si="2"/>
        <v>#DIV/0!</v>
      </c>
      <c r="N30" s="385" t="e">
        <f t="shared" si="1"/>
        <v>#DIV/0!</v>
      </c>
      <c r="O30" s="385" t="e">
        <f t="shared" si="3"/>
        <v>#DIV/0!</v>
      </c>
    </row>
    <row r="31" spans="1:15" x14ac:dyDescent="0.25">
      <c r="A31" s="120">
        <v>784</v>
      </c>
      <c r="B31" s="120" t="s">
        <v>354</v>
      </c>
      <c r="C31" s="120" t="s">
        <v>3212</v>
      </c>
      <c r="D31" s="120" t="s">
        <v>2868</v>
      </c>
      <c r="E31" s="35" t="str">
        <f>VLOOKUP($B31,'Tarieven ZZP'!$B$6:$J$238,3,FALSE)</f>
        <v>Z553 ZZP 5lvg incl.bh incl.db</v>
      </c>
      <c r="F31" s="35">
        <f>VLOOKUP($B31,'Tarieven ZZP'!$B$6:$J$238,4,FALSE)</f>
        <v>263.84349568331595</v>
      </c>
      <c r="G31" s="35">
        <f>VLOOKUP($B31,'Tarieven ZZP'!$B$6:$J$238,5,FALSE)</f>
        <v>55.776835163741971</v>
      </c>
      <c r="H31" s="35">
        <f>VLOOKUP($B31,'Tarieven ZZP'!$B$6:$J$238,6,FALSE)</f>
        <v>41.64</v>
      </c>
      <c r="I31" s="35">
        <f>VLOOKUP($B31,'Tarieven ZZP'!$B$6:$J$238,7,FALSE)</f>
        <v>6.54</v>
      </c>
      <c r="J31" s="35">
        <f>VLOOKUP($B31,'Tarieven ZZP'!$B$6:$J$238,8,FALSE)</f>
        <v>0</v>
      </c>
      <c r="K31" s="429">
        <f>VLOOKUP($B31,'Tarieven ZZP'!$B$6:$J$238,8,FALSE)</f>
        <v>0</v>
      </c>
      <c r="L31" s="384">
        <f t="shared" si="0"/>
        <v>0</v>
      </c>
      <c r="M31" s="283" t="e">
        <f t="shared" si="2"/>
        <v>#DIV/0!</v>
      </c>
      <c r="N31" s="385" t="e">
        <f t="shared" si="1"/>
        <v>#DIV/0!</v>
      </c>
      <c r="O31" s="385" t="e">
        <f t="shared" si="3"/>
        <v>#DIV/0!</v>
      </c>
    </row>
    <row r="32" spans="1:15" x14ac:dyDescent="0.25">
      <c r="A32" s="120">
        <v>790</v>
      </c>
      <c r="B32" s="120" t="s">
        <v>564</v>
      </c>
      <c r="C32" s="120" t="s">
        <v>3213</v>
      </c>
      <c r="D32" s="120" t="s">
        <v>2869</v>
      </c>
      <c r="E32" s="35" t="str">
        <f>VLOOKUP($B32,'Tarieven ZZP'!$B$6:$J$238,3,FALSE)</f>
        <v>Z573 ZZP 1sglvg incl.bh incl.db</v>
      </c>
      <c r="F32" s="35">
        <f>VLOOKUP($B32,'Tarieven ZZP'!$B$6:$J$238,4,FALSE)</f>
        <v>278.03249999999997</v>
      </c>
      <c r="G32" s="35">
        <f>VLOOKUP($B32,'Tarieven ZZP'!$B$6:$J$238,5,FALSE)</f>
        <v>92.677499999999995</v>
      </c>
      <c r="H32" s="35">
        <f>VLOOKUP($B32,'Tarieven ZZP'!$B$6:$J$238,6,FALSE)</f>
        <v>41.64</v>
      </c>
      <c r="I32" s="35">
        <f>VLOOKUP($B32,'Tarieven ZZP'!$B$6:$J$238,7,FALSE)</f>
        <v>8.81</v>
      </c>
      <c r="J32" s="35">
        <f>VLOOKUP($B32,'Tarieven ZZP'!$B$6:$J$238,8,FALSE)</f>
        <v>0</v>
      </c>
      <c r="K32" s="429">
        <f>VLOOKUP($B32,'Tarieven ZZP'!$B$6:$J$238,8,FALSE)</f>
        <v>0</v>
      </c>
      <c r="L32" s="384">
        <f t="shared" si="0"/>
        <v>0</v>
      </c>
      <c r="M32" s="283" t="e">
        <f t="shared" si="2"/>
        <v>#DIV/0!</v>
      </c>
      <c r="N32" s="385" t="e">
        <f t="shared" si="1"/>
        <v>#DIV/0!</v>
      </c>
      <c r="O32" s="385" t="e">
        <f t="shared" si="3"/>
        <v>#DIV/0!</v>
      </c>
    </row>
    <row r="33" spans="1:15" x14ac:dyDescent="0.25">
      <c r="A33" s="120">
        <v>820</v>
      </c>
      <c r="B33" s="120" t="s">
        <v>133</v>
      </c>
      <c r="C33" s="120" t="s">
        <v>3214</v>
      </c>
      <c r="D33" s="120" t="s">
        <v>2870</v>
      </c>
      <c r="E33" s="35" t="str">
        <f>VLOOKUP($B33,'Tarieven ZZP'!$B$6:$J$238,3,FALSE)</f>
        <v>Z614 ZZP 1lg excl.db</v>
      </c>
      <c r="F33" s="35">
        <f>VLOOKUP($B33,'Tarieven ZZP'!$B$6:$J$238,4,FALSE)</f>
        <v>63.44173492316488</v>
      </c>
      <c r="G33" s="35">
        <f>VLOOKUP($B33,'Tarieven ZZP'!$B$6:$J$238,5,FALSE)</f>
        <v>27.151069885885907</v>
      </c>
      <c r="H33" s="35">
        <f>VLOOKUP($B33,'Tarieven ZZP'!$B$6:$J$238,6,FALSE)</f>
        <v>24.54</v>
      </c>
      <c r="I33" s="35">
        <f>VLOOKUP($B33,'Tarieven ZZP'!$B$6:$J$238,7,FALSE)</f>
        <v>1.77</v>
      </c>
      <c r="J33" s="35">
        <f>VLOOKUP($B33,'Tarieven ZZP'!$B$6:$J$238,8,FALSE)</f>
        <v>0</v>
      </c>
      <c r="K33" s="429">
        <f>VLOOKUP($B33,'Tarieven ZZP'!$B$6:$J$238,8,FALSE)</f>
        <v>0</v>
      </c>
      <c r="L33" s="384">
        <f t="shared" si="0"/>
        <v>0</v>
      </c>
      <c r="M33" s="283" t="e">
        <f t="shared" si="2"/>
        <v>#DIV/0!</v>
      </c>
      <c r="N33" s="385" t="e">
        <f t="shared" si="1"/>
        <v>#DIV/0!</v>
      </c>
      <c r="O33" s="385" t="e">
        <f t="shared" si="3"/>
        <v>#DIV/0!</v>
      </c>
    </row>
    <row r="34" spans="1:15" x14ac:dyDescent="0.25">
      <c r="A34" s="120">
        <v>822</v>
      </c>
      <c r="B34" s="120" t="s">
        <v>338</v>
      </c>
      <c r="C34" s="120" t="s">
        <v>3215</v>
      </c>
      <c r="D34" s="120" t="s">
        <v>2871</v>
      </c>
      <c r="E34" s="35" t="str">
        <f>VLOOKUP($B34,'Tarieven ZZP'!$B$6:$J$238,3,FALSE)</f>
        <v>Z624 ZZP 2lg excl.db</v>
      </c>
      <c r="F34" s="35">
        <f>VLOOKUP($B34,'Tarieven ZZP'!$B$6:$J$238,4,FALSE)</f>
        <v>92.856642143083491</v>
      </c>
      <c r="G34" s="35">
        <f>VLOOKUP($B34,'Tarieven ZZP'!$B$6:$J$238,5,FALSE)</f>
        <v>29.784918447301283</v>
      </c>
      <c r="H34" s="35">
        <f>VLOOKUP($B34,'Tarieven ZZP'!$B$6:$J$238,6,FALSE)</f>
        <v>24.54</v>
      </c>
      <c r="I34" s="35">
        <f>VLOOKUP($B34,'Tarieven ZZP'!$B$6:$J$238,7,FALSE)</f>
        <v>1.77</v>
      </c>
      <c r="J34" s="35">
        <f>VLOOKUP($B34,'Tarieven ZZP'!$B$6:$J$238,8,FALSE)</f>
        <v>0</v>
      </c>
      <c r="K34" s="429">
        <f>VLOOKUP($B34,'Tarieven ZZP'!$B$6:$J$238,8,FALSE)</f>
        <v>0</v>
      </c>
      <c r="L34" s="384">
        <f t="shared" si="0"/>
        <v>0</v>
      </c>
      <c r="M34" s="283" t="e">
        <f t="shared" si="2"/>
        <v>#DIV/0!</v>
      </c>
      <c r="N34" s="385" t="e">
        <f t="shared" si="1"/>
        <v>#DIV/0!</v>
      </c>
      <c r="O34" s="385" t="e">
        <f t="shared" si="3"/>
        <v>#DIV/0!</v>
      </c>
    </row>
    <row r="35" spans="1:15" x14ac:dyDescent="0.25">
      <c r="A35" s="120">
        <v>824</v>
      </c>
      <c r="B35" s="120" t="s">
        <v>331</v>
      </c>
      <c r="C35" s="120" t="s">
        <v>3228</v>
      </c>
      <c r="D35" s="120" t="s">
        <v>2884</v>
      </c>
      <c r="E35" s="35" t="str">
        <f>VLOOKUP($B35,'Tarieven ZZP'!$B$6:$J$238,3,FALSE)</f>
        <v>Z632 ZZP 3lg incl.bh excl.db</v>
      </c>
      <c r="F35" s="35">
        <f>VLOOKUP($B35,'Tarieven ZZP'!$B$6:$J$238,4,FALSE)</f>
        <v>84.389353795312019</v>
      </c>
      <c r="G35" s="35">
        <f>VLOOKUP($B35,'Tarieven ZZP'!$B$6:$J$238,5,FALSE)</f>
        <v>30.788129389520982</v>
      </c>
      <c r="H35" s="35">
        <f>VLOOKUP($B35,'Tarieven ZZP'!$B$6:$J$238,6,FALSE)</f>
        <v>24.54</v>
      </c>
      <c r="I35" s="35">
        <f>VLOOKUP($B35,'Tarieven ZZP'!$B$6:$J$238,7,FALSE)</f>
        <v>3.19</v>
      </c>
      <c r="J35" s="35">
        <f>VLOOKUP($B35,'Tarieven ZZP'!$B$6:$J$238,8,FALSE)</f>
        <v>0</v>
      </c>
      <c r="K35" s="429">
        <f>VLOOKUP($B35,'Tarieven ZZP'!$B$6:$J$238,8,FALSE)</f>
        <v>0</v>
      </c>
      <c r="L35" s="384">
        <f t="shared" si="0"/>
        <v>0</v>
      </c>
      <c r="M35" s="283" t="e">
        <f t="shared" si="2"/>
        <v>#DIV/0!</v>
      </c>
      <c r="N35" s="385" t="e">
        <f t="shared" si="1"/>
        <v>#DIV/0!</v>
      </c>
      <c r="O35" s="385" t="e">
        <f t="shared" si="3"/>
        <v>#DIV/0!</v>
      </c>
    </row>
    <row r="36" spans="1:15" x14ac:dyDescent="0.25">
      <c r="A36" s="120">
        <v>826</v>
      </c>
      <c r="B36" s="120" t="s">
        <v>118</v>
      </c>
      <c r="C36" s="120" t="s">
        <v>3229</v>
      </c>
      <c r="D36" s="120" t="s">
        <v>2885</v>
      </c>
      <c r="E36" s="35" t="str">
        <f>VLOOKUP($B36,'Tarieven ZZP'!$B$6:$J$238,3,FALSE)</f>
        <v>Z642 ZZP 4lg incl.bh excl.db</v>
      </c>
      <c r="F36" s="35">
        <f>VLOOKUP($B36,'Tarieven ZZP'!$B$6:$J$238,4,FALSE)</f>
        <v>141.30117594880608</v>
      </c>
      <c r="G36" s="35">
        <f>VLOOKUP($B36,'Tarieven ZZP'!$B$6:$J$238,5,FALSE)</f>
        <v>38.487718803530392</v>
      </c>
      <c r="H36" s="35">
        <f>VLOOKUP($B36,'Tarieven ZZP'!$B$6:$J$238,6,FALSE)</f>
        <v>24.54</v>
      </c>
      <c r="I36" s="35">
        <f>VLOOKUP($B36,'Tarieven ZZP'!$B$6:$J$238,7,FALSE)</f>
        <v>3.19</v>
      </c>
      <c r="J36" s="35">
        <f>VLOOKUP($B36,'Tarieven ZZP'!$B$6:$J$238,8,FALSE)</f>
        <v>0</v>
      </c>
      <c r="K36" s="429">
        <f>VLOOKUP($B36,'Tarieven ZZP'!$B$6:$J$238,8,FALSE)</f>
        <v>0</v>
      </c>
      <c r="L36" s="384">
        <f t="shared" si="0"/>
        <v>0</v>
      </c>
      <c r="M36" s="283" t="e">
        <f t="shared" si="2"/>
        <v>#DIV/0!</v>
      </c>
      <c r="N36" s="385" t="e">
        <f t="shared" si="1"/>
        <v>#DIV/0!</v>
      </c>
      <c r="O36" s="385" t="e">
        <f t="shared" si="3"/>
        <v>#DIV/0!</v>
      </c>
    </row>
    <row r="37" spans="1:15" x14ac:dyDescent="0.25">
      <c r="A37" s="120">
        <v>828</v>
      </c>
      <c r="B37" s="120" t="s">
        <v>357</v>
      </c>
      <c r="C37" s="120" t="s">
        <v>3230</v>
      </c>
      <c r="D37" s="120" t="s">
        <v>2886</v>
      </c>
      <c r="E37" s="35" t="str">
        <f>VLOOKUP($B37,'Tarieven ZZP'!$B$6:$J$238,3,FALSE)</f>
        <v>Z652 ZZP 5lg incl.bh excl.db</v>
      </c>
      <c r="F37" s="35">
        <f>VLOOKUP($B37,'Tarieven ZZP'!$B$6:$J$238,4,FALSE)</f>
        <v>142.8568423885506</v>
      </c>
      <c r="G37" s="35">
        <f>VLOOKUP($B37,'Tarieven ZZP'!$B$6:$J$238,5,FALSE)</f>
        <v>39.410781488716147</v>
      </c>
      <c r="H37" s="35">
        <f>VLOOKUP($B37,'Tarieven ZZP'!$B$6:$J$238,6,FALSE)</f>
        <v>28.41</v>
      </c>
      <c r="I37" s="35">
        <f>VLOOKUP($B37,'Tarieven ZZP'!$B$6:$J$238,7,FALSE)</f>
        <v>7.95</v>
      </c>
      <c r="J37" s="35">
        <f>VLOOKUP($B37,'Tarieven ZZP'!$B$6:$J$238,8,FALSE)</f>
        <v>0</v>
      </c>
      <c r="K37" s="429">
        <f>VLOOKUP($B37,'Tarieven ZZP'!$B$6:$J$238,8,FALSE)</f>
        <v>0</v>
      </c>
      <c r="L37" s="384">
        <f t="shared" si="0"/>
        <v>0</v>
      </c>
      <c r="M37" s="283" t="e">
        <f t="shared" si="2"/>
        <v>#DIV/0!</v>
      </c>
      <c r="N37" s="385" t="e">
        <f t="shared" si="1"/>
        <v>#DIV/0!</v>
      </c>
      <c r="O37" s="385" t="e">
        <f t="shared" si="3"/>
        <v>#DIV/0!</v>
      </c>
    </row>
    <row r="38" spans="1:15" x14ac:dyDescent="0.25">
      <c r="A38" s="120">
        <v>830</v>
      </c>
      <c r="B38" s="120" t="s">
        <v>358</v>
      </c>
      <c r="C38" s="120" t="s">
        <v>3231</v>
      </c>
      <c r="D38" s="120" t="s">
        <v>2887</v>
      </c>
      <c r="E38" s="35" t="str">
        <f>VLOOKUP($B38,'Tarieven ZZP'!$B$6:$J$238,3,FALSE)</f>
        <v>Z662 ZZP 6lg incl.bh excl.db</v>
      </c>
      <c r="F38" s="35">
        <f>VLOOKUP($B38,'Tarieven ZZP'!$B$6:$J$238,4,FALSE)</f>
        <v>204.01826752138859</v>
      </c>
      <c r="G38" s="35">
        <f>VLOOKUP($B38,'Tarieven ZZP'!$B$6:$J$238,5,FALSE)</f>
        <v>47.596801887376138</v>
      </c>
      <c r="H38" s="35">
        <f>VLOOKUP($B38,'Tarieven ZZP'!$B$6:$J$238,6,FALSE)</f>
        <v>33.54</v>
      </c>
      <c r="I38" s="35">
        <f>VLOOKUP($B38,'Tarieven ZZP'!$B$6:$J$238,7,FALSE)</f>
        <v>7.95</v>
      </c>
      <c r="J38" s="35">
        <f>VLOOKUP($B38,'Tarieven ZZP'!$B$6:$J$238,8,FALSE)</f>
        <v>0</v>
      </c>
      <c r="K38" s="429">
        <f>VLOOKUP($B38,'Tarieven ZZP'!$B$6:$J$238,8,FALSE)</f>
        <v>0</v>
      </c>
      <c r="L38" s="384">
        <f t="shared" si="0"/>
        <v>0</v>
      </c>
      <c r="M38" s="283" t="e">
        <f t="shared" si="2"/>
        <v>#DIV/0!</v>
      </c>
      <c r="N38" s="385" t="e">
        <f t="shared" si="1"/>
        <v>#DIV/0!</v>
      </c>
      <c r="O38" s="385" t="e">
        <f t="shared" si="3"/>
        <v>#DIV/0!</v>
      </c>
    </row>
    <row r="39" spans="1:15" x14ac:dyDescent="0.25">
      <c r="A39" s="120">
        <v>832</v>
      </c>
      <c r="B39" s="120" t="s">
        <v>238</v>
      </c>
      <c r="C39" s="120" t="s">
        <v>3232</v>
      </c>
      <c r="D39" s="120" t="s">
        <v>2888</v>
      </c>
      <c r="E39" s="35" t="str">
        <f>VLOOKUP($B39,'Tarieven ZZP'!$B$6:$J$238,3,FALSE)</f>
        <v>Z672 ZZP 7lg incl.bh excl.db</v>
      </c>
      <c r="F39" s="35">
        <f>VLOOKUP($B39,'Tarieven ZZP'!$B$6:$J$238,4,FALSE)</f>
        <v>230.30716109996169</v>
      </c>
      <c r="G39" s="35">
        <f>VLOOKUP($B39,'Tarieven ZZP'!$B$6:$J$238,5,FALSE)</f>
        <v>51.340240085219932</v>
      </c>
      <c r="H39" s="35">
        <f>VLOOKUP($B39,'Tarieven ZZP'!$B$6:$J$238,6,FALSE)</f>
        <v>33.54</v>
      </c>
      <c r="I39" s="35">
        <f>VLOOKUP($B39,'Tarieven ZZP'!$B$6:$J$238,7,FALSE)</f>
        <v>7.95</v>
      </c>
      <c r="J39" s="35">
        <f>VLOOKUP($B39,'Tarieven ZZP'!$B$6:$J$238,8,FALSE)</f>
        <v>0</v>
      </c>
      <c r="K39" s="429">
        <f>VLOOKUP($B39,'Tarieven ZZP'!$B$6:$J$238,8,FALSE)</f>
        <v>0</v>
      </c>
      <c r="L39" s="384">
        <f t="shared" si="0"/>
        <v>0</v>
      </c>
      <c r="M39" s="283" t="e">
        <f t="shared" si="2"/>
        <v>#DIV/0!</v>
      </c>
      <c r="N39" s="385" t="e">
        <f t="shared" si="1"/>
        <v>#DIV/0!</v>
      </c>
      <c r="O39" s="385" t="e">
        <f t="shared" si="3"/>
        <v>#DIV/0!</v>
      </c>
    </row>
    <row r="40" spans="1:15" x14ac:dyDescent="0.25">
      <c r="A40" s="120">
        <v>850</v>
      </c>
      <c r="B40" s="120" t="s">
        <v>369</v>
      </c>
      <c r="C40" s="120" t="s">
        <v>3246</v>
      </c>
      <c r="D40" s="120" t="s">
        <v>2902</v>
      </c>
      <c r="E40" s="35" t="str">
        <f>VLOOKUP($B40,'Tarieven ZZP'!$B$6:$J$238,3,FALSE)</f>
        <v>Z712 ZZP 1zg-auditief incl.bh excl.db</v>
      </c>
      <c r="F40" s="35">
        <f>VLOOKUP($B40,'Tarieven ZZP'!$B$6:$J$238,4,FALSE)</f>
        <v>110.63359113906508</v>
      </c>
      <c r="G40" s="35">
        <f>VLOOKUP($B40,'Tarieven ZZP'!$B$6:$J$238,5,FALSE)</f>
        <v>17.970118150035209</v>
      </c>
      <c r="H40" s="35">
        <f>VLOOKUP($B40,'Tarieven ZZP'!$B$6:$J$238,6,FALSE)</f>
        <v>24.54</v>
      </c>
      <c r="I40" s="35">
        <f>VLOOKUP($B40,'Tarieven ZZP'!$B$6:$J$238,7,FALSE)</f>
        <v>7.5</v>
      </c>
      <c r="J40" s="35">
        <f>VLOOKUP($B40,'Tarieven ZZP'!$B$6:$J$238,8,FALSE)</f>
        <v>0</v>
      </c>
      <c r="K40" s="429">
        <f>VLOOKUP($B40,'Tarieven ZZP'!$B$6:$J$238,8,FALSE)</f>
        <v>0</v>
      </c>
      <c r="L40" s="384">
        <f t="shared" si="0"/>
        <v>0</v>
      </c>
      <c r="M40" s="283" t="e">
        <f t="shared" si="2"/>
        <v>#DIV/0!</v>
      </c>
      <c r="N40" s="385" t="e">
        <f t="shared" si="1"/>
        <v>#DIV/0!</v>
      </c>
      <c r="O40" s="385" t="e">
        <f t="shared" si="3"/>
        <v>#DIV/0!</v>
      </c>
    </row>
    <row r="41" spans="1:15" x14ac:dyDescent="0.25">
      <c r="A41" s="120">
        <v>852</v>
      </c>
      <c r="B41" s="120" t="s">
        <v>296</v>
      </c>
      <c r="C41" s="120" t="s">
        <v>3247</v>
      </c>
      <c r="D41" s="120" t="s">
        <v>2903</v>
      </c>
      <c r="E41" s="35" t="str">
        <f>VLOOKUP($B41,'Tarieven ZZP'!$B$6:$J$238,3,FALSE)</f>
        <v>Z722 ZZP 2zg-auditief incl.bh excl.db</v>
      </c>
      <c r="F41" s="35">
        <f>VLOOKUP($B41,'Tarieven ZZP'!$B$6:$J$238,4,FALSE)</f>
        <v>253.79406689141643</v>
      </c>
      <c r="G41" s="35">
        <f>VLOOKUP($B41,'Tarieven ZZP'!$B$6:$J$238,5,FALSE)</f>
        <v>27.538562884636153</v>
      </c>
      <c r="H41" s="35">
        <f>VLOOKUP($B41,'Tarieven ZZP'!$B$6:$J$238,6,FALSE)</f>
        <v>24.54</v>
      </c>
      <c r="I41" s="35">
        <f>VLOOKUP($B41,'Tarieven ZZP'!$B$6:$J$238,7,FALSE)</f>
        <v>7.5</v>
      </c>
      <c r="J41" s="35">
        <f>VLOOKUP($B41,'Tarieven ZZP'!$B$6:$J$238,8,FALSE)</f>
        <v>0</v>
      </c>
      <c r="K41" s="429">
        <f>VLOOKUP($B41,'Tarieven ZZP'!$B$6:$J$238,8,FALSE)</f>
        <v>0</v>
      </c>
      <c r="L41" s="384">
        <f t="shared" si="0"/>
        <v>0</v>
      </c>
      <c r="M41" s="283" t="e">
        <f t="shared" si="2"/>
        <v>#DIV/0!</v>
      </c>
      <c r="N41" s="385" t="e">
        <f t="shared" si="1"/>
        <v>#DIV/0!</v>
      </c>
      <c r="O41" s="385" t="e">
        <f t="shared" si="3"/>
        <v>#DIV/0!</v>
      </c>
    </row>
    <row r="42" spans="1:15" x14ac:dyDescent="0.25">
      <c r="A42" s="120">
        <v>854</v>
      </c>
      <c r="B42" s="120" t="s">
        <v>311</v>
      </c>
      <c r="C42" s="120" t="s">
        <v>3248</v>
      </c>
      <c r="D42" s="120" t="s">
        <v>2904</v>
      </c>
      <c r="E42" s="35" t="str">
        <f>VLOOKUP($B42,'Tarieven ZZP'!$B$6:$J$238,3,FALSE)</f>
        <v>Z732 ZZP 3zg-auditief incl.bh excl.db</v>
      </c>
      <c r="F42" s="35">
        <f>VLOOKUP($B42,'Tarieven ZZP'!$B$6:$J$238,4,FALSE)</f>
        <v>289.28308097811168</v>
      </c>
      <c r="G42" s="35">
        <f>VLOOKUP($B42,'Tarieven ZZP'!$B$6:$J$238,5,FALSE)</f>
        <v>33.941879012612951</v>
      </c>
      <c r="H42" s="35">
        <f>VLOOKUP($B42,'Tarieven ZZP'!$B$6:$J$238,6,FALSE)</f>
        <v>27.14</v>
      </c>
      <c r="I42" s="35">
        <f>VLOOKUP($B42,'Tarieven ZZP'!$B$6:$J$238,7,FALSE)</f>
        <v>7.5</v>
      </c>
      <c r="J42" s="35">
        <f>VLOOKUP($B42,'Tarieven ZZP'!$B$6:$J$238,8,FALSE)</f>
        <v>0</v>
      </c>
      <c r="K42" s="429">
        <f>VLOOKUP($B42,'Tarieven ZZP'!$B$6:$J$238,8,FALSE)</f>
        <v>0</v>
      </c>
      <c r="L42" s="384">
        <f t="shared" si="0"/>
        <v>0</v>
      </c>
      <c r="M42" s="283" t="e">
        <f t="shared" si="2"/>
        <v>#DIV/0!</v>
      </c>
      <c r="N42" s="385" t="e">
        <f t="shared" si="1"/>
        <v>#DIV/0!</v>
      </c>
      <c r="O42" s="385" t="e">
        <f t="shared" si="3"/>
        <v>#DIV/0!</v>
      </c>
    </row>
    <row r="43" spans="1:15" x14ac:dyDescent="0.25">
      <c r="A43" s="120">
        <v>856</v>
      </c>
      <c r="B43" s="120" t="s">
        <v>348</v>
      </c>
      <c r="C43" s="120" t="s">
        <v>3249</v>
      </c>
      <c r="D43" s="120" t="s">
        <v>2905</v>
      </c>
      <c r="E43" s="35" t="str">
        <f>VLOOKUP($B43,'Tarieven ZZP'!$B$6:$J$238,3,FALSE)</f>
        <v>Z742 ZZP 4zg-auditief incl.bh excl.db</v>
      </c>
      <c r="F43" s="35">
        <f>VLOOKUP($B43,'Tarieven ZZP'!$B$6:$J$238,4,FALSE)</f>
        <v>151.035</v>
      </c>
      <c r="G43" s="35">
        <f>VLOOKUP($B43,'Tarieven ZZP'!$B$6:$J$238,5,FALSE)</f>
        <v>50.344999999999999</v>
      </c>
      <c r="H43" s="35">
        <f>VLOOKUP($B43,'Tarieven ZZP'!$B$6:$J$238,6,FALSE)</f>
        <v>24.54</v>
      </c>
      <c r="I43" s="35">
        <f>VLOOKUP($B43,'Tarieven ZZP'!$B$6:$J$238,7,FALSE)</f>
        <v>7.5</v>
      </c>
      <c r="J43" s="35">
        <f>VLOOKUP($B43,'Tarieven ZZP'!$B$6:$J$238,8,FALSE)</f>
        <v>0</v>
      </c>
      <c r="K43" s="429">
        <f>VLOOKUP($B43,'Tarieven ZZP'!$B$6:$J$238,8,FALSE)</f>
        <v>0</v>
      </c>
      <c r="L43" s="384">
        <f t="shared" si="0"/>
        <v>0</v>
      </c>
      <c r="M43" s="283" t="e">
        <f t="shared" si="2"/>
        <v>#DIV/0!</v>
      </c>
      <c r="N43" s="385" t="e">
        <f t="shared" si="1"/>
        <v>#DIV/0!</v>
      </c>
      <c r="O43" s="385" t="e">
        <f t="shared" si="3"/>
        <v>#DIV/0!</v>
      </c>
    </row>
    <row r="44" spans="1:15" x14ac:dyDescent="0.25">
      <c r="A44" s="120">
        <v>840</v>
      </c>
      <c r="B44" s="120" t="s">
        <v>117</v>
      </c>
      <c r="C44" s="120" t="s">
        <v>3254</v>
      </c>
      <c r="D44" s="120" t="s">
        <v>2910</v>
      </c>
      <c r="E44" s="35" t="str">
        <f>VLOOKUP($B44,'Tarieven ZZP'!$B$6:$J$238,3,FALSE)</f>
        <v>Z814 ZZP 1zg-visueel excl.db</v>
      </c>
      <c r="F44" s="35">
        <f>VLOOKUP($B44,'Tarieven ZZP'!$B$6:$J$238,4,FALSE)</f>
        <v>57.81</v>
      </c>
      <c r="G44" s="35">
        <f>VLOOKUP($B44,'Tarieven ZZP'!$B$6:$J$238,5,FALSE)</f>
        <v>19.27</v>
      </c>
      <c r="H44" s="35">
        <f>VLOOKUP($B44,'Tarieven ZZP'!$B$6:$J$238,6,FALSE)</f>
        <v>24.54</v>
      </c>
      <c r="I44" s="35">
        <f>VLOOKUP($B44,'Tarieven ZZP'!$B$6:$J$238,7,FALSE)</f>
        <v>4.9000000000000004</v>
      </c>
      <c r="J44" s="35">
        <f>VLOOKUP($B44,'Tarieven ZZP'!$B$6:$J$238,8,FALSE)</f>
        <v>0</v>
      </c>
      <c r="K44" s="429">
        <f>VLOOKUP($B44,'Tarieven ZZP'!$B$6:$J$238,8,FALSE)</f>
        <v>0</v>
      </c>
      <c r="L44" s="384">
        <f t="shared" si="0"/>
        <v>0</v>
      </c>
      <c r="M44" s="283" t="e">
        <f t="shared" si="2"/>
        <v>#DIV/0!</v>
      </c>
      <c r="N44" s="385" t="e">
        <f t="shared" si="1"/>
        <v>#DIV/0!</v>
      </c>
      <c r="O44" s="385" t="e">
        <f t="shared" si="3"/>
        <v>#DIV/0!</v>
      </c>
    </row>
    <row r="45" spans="1:15" x14ac:dyDescent="0.25">
      <c r="A45" s="120">
        <v>842</v>
      </c>
      <c r="B45" s="120" t="s">
        <v>96</v>
      </c>
      <c r="C45" s="120" t="s">
        <v>3255</v>
      </c>
      <c r="D45" s="120" t="s">
        <v>2911</v>
      </c>
      <c r="E45" s="35" t="str">
        <f>VLOOKUP($B45,'Tarieven ZZP'!$B$6:$J$238,3,FALSE)</f>
        <v>Z824 ZZP 2zg-visueel excl.db</v>
      </c>
      <c r="F45" s="35">
        <f>VLOOKUP($B45,'Tarieven ZZP'!$B$6:$J$238,4,FALSE)</f>
        <v>86.182500000000005</v>
      </c>
      <c r="G45" s="35">
        <f>VLOOKUP($B45,'Tarieven ZZP'!$B$6:$J$238,5,FALSE)</f>
        <v>28.727499999999999</v>
      </c>
      <c r="H45" s="35">
        <f>VLOOKUP($B45,'Tarieven ZZP'!$B$6:$J$238,6,FALSE)</f>
        <v>24.54</v>
      </c>
      <c r="I45" s="35">
        <f>VLOOKUP($B45,'Tarieven ZZP'!$B$6:$J$238,7,FALSE)</f>
        <v>4.9000000000000004</v>
      </c>
      <c r="J45" s="35">
        <f>VLOOKUP($B45,'Tarieven ZZP'!$B$6:$J$238,8,FALSE)</f>
        <v>0</v>
      </c>
      <c r="K45" s="429">
        <f>VLOOKUP($B45,'Tarieven ZZP'!$B$6:$J$238,8,FALSE)</f>
        <v>0</v>
      </c>
      <c r="L45" s="384">
        <f t="shared" si="0"/>
        <v>0</v>
      </c>
      <c r="M45" s="283" t="e">
        <f t="shared" si="2"/>
        <v>#DIV/0!</v>
      </c>
      <c r="N45" s="385" t="e">
        <f t="shared" si="1"/>
        <v>#DIV/0!</v>
      </c>
      <c r="O45" s="385" t="e">
        <f t="shared" si="3"/>
        <v>#DIV/0!</v>
      </c>
    </row>
    <row r="46" spans="1:15" x14ac:dyDescent="0.25">
      <c r="A46" s="120">
        <v>844</v>
      </c>
      <c r="B46" s="120" t="s">
        <v>379</v>
      </c>
      <c r="C46" s="120" t="s">
        <v>3264</v>
      </c>
      <c r="D46" s="120" t="s">
        <v>2920</v>
      </c>
      <c r="E46" s="35" t="str">
        <f>VLOOKUP($B46,'Tarieven ZZP'!$B$6:$J$238,3,FALSE)</f>
        <v>Z832 ZZP 3zg-visueel incl.bh excl.db</v>
      </c>
      <c r="F46" s="35">
        <f>VLOOKUP($B46,'Tarieven ZZP'!$B$6:$J$238,4,FALSE)</f>
        <v>122.1225</v>
      </c>
      <c r="G46" s="35">
        <f>VLOOKUP($B46,'Tarieven ZZP'!$B$6:$J$238,5,FALSE)</f>
        <v>40.707500000000003</v>
      </c>
      <c r="H46" s="35">
        <f>VLOOKUP($B46,'Tarieven ZZP'!$B$6:$J$238,6,FALSE)</f>
        <v>24.54</v>
      </c>
      <c r="I46" s="35">
        <f>VLOOKUP($B46,'Tarieven ZZP'!$B$6:$J$238,7,FALSE)</f>
        <v>7.5</v>
      </c>
      <c r="J46" s="35">
        <f>VLOOKUP($B46,'Tarieven ZZP'!$B$6:$J$238,8,FALSE)</f>
        <v>0</v>
      </c>
      <c r="K46" s="429">
        <f>VLOOKUP($B46,'Tarieven ZZP'!$B$6:$J$238,8,FALSE)</f>
        <v>0</v>
      </c>
      <c r="L46" s="384">
        <f t="shared" si="0"/>
        <v>0</v>
      </c>
      <c r="M46" s="283" t="e">
        <f t="shared" si="2"/>
        <v>#DIV/0!</v>
      </c>
      <c r="N46" s="385" t="e">
        <f t="shared" si="1"/>
        <v>#DIV/0!</v>
      </c>
      <c r="O46" s="385" t="e">
        <f t="shared" si="3"/>
        <v>#DIV/0!</v>
      </c>
    </row>
    <row r="47" spans="1:15" x14ac:dyDescent="0.25">
      <c r="A47" s="120">
        <v>846</v>
      </c>
      <c r="B47" s="120" t="s">
        <v>261</v>
      </c>
      <c r="C47" s="120" t="s">
        <v>3265</v>
      </c>
      <c r="D47" s="120" t="s">
        <v>2921</v>
      </c>
      <c r="E47" s="35" t="str">
        <f>VLOOKUP($B47,'Tarieven ZZP'!$B$6:$J$238,3,FALSE)</f>
        <v>Z842 ZZP 4zg-visueel incl.bh excl.db</v>
      </c>
      <c r="F47" s="35">
        <f>VLOOKUP($B47,'Tarieven ZZP'!$B$6:$J$238,4,FALSE)</f>
        <v>153.78750000000002</v>
      </c>
      <c r="G47" s="35">
        <f>VLOOKUP($B47,'Tarieven ZZP'!$B$6:$J$238,5,FALSE)</f>
        <v>51.262500000000003</v>
      </c>
      <c r="H47" s="35">
        <f>VLOOKUP($B47,'Tarieven ZZP'!$B$6:$J$238,6,FALSE)</f>
        <v>29.09</v>
      </c>
      <c r="I47" s="35">
        <f>VLOOKUP($B47,'Tarieven ZZP'!$B$6:$J$238,7,FALSE)</f>
        <v>7.5</v>
      </c>
      <c r="J47" s="35">
        <f>VLOOKUP($B47,'Tarieven ZZP'!$B$6:$J$238,8,FALSE)</f>
        <v>0</v>
      </c>
      <c r="K47" s="429">
        <f>VLOOKUP($B47,'Tarieven ZZP'!$B$6:$J$238,8,FALSE)</f>
        <v>0</v>
      </c>
      <c r="L47" s="384">
        <f t="shared" si="0"/>
        <v>0</v>
      </c>
      <c r="M47" s="283" t="e">
        <f t="shared" si="2"/>
        <v>#DIV/0!</v>
      </c>
      <c r="N47" s="385" t="e">
        <f t="shared" si="1"/>
        <v>#DIV/0!</v>
      </c>
      <c r="O47" s="385" t="e">
        <f t="shared" si="3"/>
        <v>#DIV/0!</v>
      </c>
    </row>
    <row r="48" spans="1:15" x14ac:dyDescent="0.25">
      <c r="A48" s="120">
        <v>848</v>
      </c>
      <c r="B48" s="120" t="s">
        <v>85</v>
      </c>
      <c r="C48" s="120" t="s">
        <v>3266</v>
      </c>
      <c r="D48" s="120" t="s">
        <v>2922</v>
      </c>
      <c r="E48" s="35" t="str">
        <f>VLOOKUP($B48,'Tarieven ZZP'!$B$6:$J$238,3,FALSE)</f>
        <v>Z852 ZZP 5zg-visueel incl.bh excl.db</v>
      </c>
      <c r="F48" s="35">
        <f>VLOOKUP($B48,'Tarieven ZZP'!$B$6:$J$238,4,FALSE)</f>
        <v>170.64000000000001</v>
      </c>
      <c r="G48" s="35">
        <f>VLOOKUP($B48,'Tarieven ZZP'!$B$6:$J$238,5,FALSE)</f>
        <v>56.88</v>
      </c>
      <c r="H48" s="35">
        <f>VLOOKUP($B48,'Tarieven ZZP'!$B$6:$J$238,6,FALSE)</f>
        <v>34.299999999999997</v>
      </c>
      <c r="I48" s="35">
        <f>VLOOKUP($B48,'Tarieven ZZP'!$B$6:$J$238,7,FALSE)</f>
        <v>7.5</v>
      </c>
      <c r="J48" s="35">
        <f>VLOOKUP($B48,'Tarieven ZZP'!$B$6:$J$238,8,FALSE)</f>
        <v>0</v>
      </c>
      <c r="K48" s="429">
        <f>VLOOKUP($B48,'Tarieven ZZP'!$B$6:$J$238,8,FALSE)</f>
        <v>0</v>
      </c>
      <c r="L48" s="384">
        <f t="shared" si="0"/>
        <v>0</v>
      </c>
      <c r="M48" s="283" t="e">
        <f t="shared" si="2"/>
        <v>#DIV/0!</v>
      </c>
      <c r="N48" s="385" t="e">
        <f t="shared" si="1"/>
        <v>#DIV/0!</v>
      </c>
      <c r="O48" s="385" t="e">
        <f t="shared" si="3"/>
        <v>#DIV/0!</v>
      </c>
    </row>
  </sheetData>
  <sheetProtection algorithmName="SHA-512" hashValue="3YEfOpidnpIULJHwpB5NdLzzhLXbG3hWTDWFq072ow82azZ4SF8BAQkS8jqrXLh4/y6ZMAI8OHSiz3zBEcr3Rw==" saltValue="X1/ESNzSpBmdlP0hxf+0nQ==" spinCount="100000" sheet="1" objects="1" scenarios="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N41"/>
  <sheetViews>
    <sheetView workbookViewId="0">
      <selection activeCell="K41" sqref="K41"/>
    </sheetView>
  </sheetViews>
  <sheetFormatPr defaultColWidth="9.140625" defaultRowHeight="15" x14ac:dyDescent="0.25"/>
  <cols>
    <col min="1" max="1" width="9.140625" style="120"/>
    <col min="2" max="2" width="10.7109375" style="120" bestFit="1" customWidth="1"/>
    <col min="3" max="3" width="28.28515625" style="120" bestFit="1" customWidth="1"/>
    <col min="4" max="4" width="33.28515625" style="120" bestFit="1" customWidth="1"/>
    <col min="5" max="5" width="7" style="120" bestFit="1" customWidth="1"/>
    <col min="6" max="8" width="5" style="120" bestFit="1" customWidth="1"/>
    <col min="9" max="9" width="27.140625" style="120" bestFit="1" customWidth="1"/>
    <col min="10" max="10" width="24.28515625" style="120" bestFit="1" customWidth="1"/>
    <col min="11" max="11" width="17.28515625" style="120" bestFit="1" customWidth="1"/>
    <col min="12" max="12" width="8.85546875" style="120" bestFit="1" customWidth="1"/>
    <col min="13" max="13" width="9.5703125" style="386" bestFit="1" customWidth="1"/>
    <col min="14" max="14" width="21.5703125" style="386" bestFit="1" customWidth="1"/>
    <col min="15" max="16384" width="9.140625" style="120"/>
  </cols>
  <sheetData>
    <row r="1" spans="1:14" x14ac:dyDescent="0.25">
      <c r="A1" s="120" t="s">
        <v>3494</v>
      </c>
      <c r="B1" s="120" t="s">
        <v>0</v>
      </c>
      <c r="C1" s="120" t="s">
        <v>3501</v>
      </c>
      <c r="D1" s="120" t="s">
        <v>3502</v>
      </c>
      <c r="I1" s="120" t="s">
        <v>3495</v>
      </c>
      <c r="J1" s="120" t="s">
        <v>3496</v>
      </c>
      <c r="K1" s="120" t="s">
        <v>3497</v>
      </c>
      <c r="L1" s="120" t="s">
        <v>3498</v>
      </c>
      <c r="M1" s="386" t="s">
        <v>3503</v>
      </c>
      <c r="N1" s="386" t="s">
        <v>3504</v>
      </c>
    </row>
    <row r="2" spans="1:14" x14ac:dyDescent="0.25">
      <c r="A2" s="120">
        <v>750</v>
      </c>
      <c r="B2" s="120" t="s">
        <v>245</v>
      </c>
      <c r="C2" s="120" t="s">
        <v>3030</v>
      </c>
      <c r="D2" s="120" t="s">
        <v>2764</v>
      </c>
      <c r="E2" s="120">
        <v>68.02</v>
      </c>
      <c r="F2" s="120">
        <v>2.98</v>
      </c>
      <c r="G2" s="120">
        <v>0.6</v>
      </c>
      <c r="H2" s="120" t="s">
        <v>3031</v>
      </c>
      <c r="I2" s="384">
        <v>71.599999999999994</v>
      </c>
      <c r="J2" s="384">
        <v>71.599999999999994</v>
      </c>
      <c r="K2" s="384">
        <f>J2-I2</f>
        <v>0</v>
      </c>
      <c r="L2" s="283">
        <f>SUM(M2:N2)</f>
        <v>1</v>
      </c>
      <c r="M2" s="385">
        <f>ROUND(I2/J2,2)</f>
        <v>1</v>
      </c>
      <c r="N2" s="385">
        <f>ROUND(K2/J2,2)</f>
        <v>0</v>
      </c>
    </row>
    <row r="3" spans="1:14" x14ac:dyDescent="0.25">
      <c r="A3" s="120">
        <v>751</v>
      </c>
      <c r="B3" s="120" t="s">
        <v>136</v>
      </c>
      <c r="C3" s="120" t="s">
        <v>3032</v>
      </c>
      <c r="D3" s="120" t="s">
        <v>2765</v>
      </c>
      <c r="E3" s="120">
        <v>86.4</v>
      </c>
      <c r="F3" s="120">
        <v>2.98</v>
      </c>
      <c r="G3" s="120">
        <v>0.6</v>
      </c>
      <c r="H3" s="120" t="s">
        <v>3031</v>
      </c>
      <c r="I3" s="384">
        <v>89.98</v>
      </c>
      <c r="J3" s="384">
        <v>89.98</v>
      </c>
      <c r="K3" s="384">
        <f t="shared" ref="K3:K41" si="0">J3-I3</f>
        <v>0</v>
      </c>
      <c r="L3" s="283">
        <f t="shared" ref="L3:L41" si="1">SUM(M3:N3)</f>
        <v>1</v>
      </c>
      <c r="M3" s="385">
        <f t="shared" ref="M3:M41" si="2">ROUND(I3/J3,2)</f>
        <v>1</v>
      </c>
      <c r="N3" s="385">
        <f t="shared" ref="N3:N41" si="3">ROUND(K3/J3,2)</f>
        <v>0</v>
      </c>
    </row>
    <row r="4" spans="1:14" x14ac:dyDescent="0.25">
      <c r="A4" s="120">
        <v>752</v>
      </c>
      <c r="B4" s="120" t="s">
        <v>291</v>
      </c>
      <c r="C4" s="120" t="s">
        <v>3033</v>
      </c>
      <c r="D4" s="120" t="s">
        <v>2926</v>
      </c>
      <c r="E4" s="120">
        <v>124.62</v>
      </c>
      <c r="F4" s="120">
        <v>3.04</v>
      </c>
      <c r="G4" s="120">
        <v>0.81</v>
      </c>
      <c r="H4" s="120" t="s">
        <v>3031</v>
      </c>
      <c r="I4" s="384">
        <v>128.47</v>
      </c>
      <c r="J4" s="384">
        <v>128.47</v>
      </c>
      <c r="K4" s="384">
        <f t="shared" si="0"/>
        <v>0</v>
      </c>
      <c r="L4" s="283">
        <f t="shared" si="1"/>
        <v>1</v>
      </c>
      <c r="M4" s="385">
        <f t="shared" si="2"/>
        <v>1</v>
      </c>
      <c r="N4" s="385">
        <f t="shared" si="3"/>
        <v>0</v>
      </c>
    </row>
    <row r="5" spans="1:14" x14ac:dyDescent="0.25">
      <c r="A5" s="120">
        <v>753</v>
      </c>
      <c r="B5" s="120" t="s">
        <v>167</v>
      </c>
      <c r="C5" s="120" t="s">
        <v>3034</v>
      </c>
      <c r="D5" s="120" t="s">
        <v>2927</v>
      </c>
      <c r="E5" s="120">
        <v>139.19</v>
      </c>
      <c r="F5" s="120">
        <v>3.04</v>
      </c>
      <c r="G5" s="120">
        <v>0.81</v>
      </c>
      <c r="H5" s="120" t="s">
        <v>3031</v>
      </c>
      <c r="I5" s="384">
        <v>143.04</v>
      </c>
      <c r="J5" s="384">
        <v>143.04</v>
      </c>
      <c r="K5" s="384">
        <f t="shared" si="0"/>
        <v>0</v>
      </c>
      <c r="L5" s="283">
        <f t="shared" si="1"/>
        <v>1</v>
      </c>
      <c r="M5" s="385">
        <f t="shared" si="2"/>
        <v>1</v>
      </c>
      <c r="N5" s="385">
        <f t="shared" si="3"/>
        <v>0</v>
      </c>
    </row>
    <row r="6" spans="1:14" x14ac:dyDescent="0.25">
      <c r="A6" s="120">
        <v>754</v>
      </c>
      <c r="B6" s="120" t="s">
        <v>378</v>
      </c>
      <c r="C6" s="120" t="s">
        <v>3035</v>
      </c>
      <c r="D6" s="120" t="s">
        <v>2928</v>
      </c>
      <c r="E6" s="120">
        <v>185.88</v>
      </c>
      <c r="F6" s="120">
        <v>4.0199999999999996</v>
      </c>
      <c r="G6" s="120">
        <v>0.69</v>
      </c>
      <c r="H6" s="120" t="s">
        <v>3031</v>
      </c>
      <c r="I6" s="384">
        <v>190.59</v>
      </c>
      <c r="J6" s="384">
        <v>190.59</v>
      </c>
      <c r="K6" s="384">
        <f t="shared" si="0"/>
        <v>0</v>
      </c>
      <c r="L6" s="283">
        <f t="shared" si="1"/>
        <v>1</v>
      </c>
      <c r="M6" s="385">
        <f t="shared" si="2"/>
        <v>1</v>
      </c>
      <c r="N6" s="385">
        <f t="shared" si="3"/>
        <v>0</v>
      </c>
    </row>
    <row r="7" spans="1:14" x14ac:dyDescent="0.25">
      <c r="A7" s="120">
        <v>755</v>
      </c>
      <c r="B7" s="120" t="s">
        <v>340</v>
      </c>
      <c r="C7" s="120" t="s">
        <v>3036</v>
      </c>
      <c r="D7" s="120" t="s">
        <v>2929</v>
      </c>
      <c r="E7" s="120">
        <v>185.85</v>
      </c>
      <c r="F7" s="120">
        <v>4.4000000000000004</v>
      </c>
      <c r="G7" s="120">
        <v>0.69</v>
      </c>
      <c r="H7" s="120" t="s">
        <v>3031</v>
      </c>
      <c r="I7" s="384">
        <v>190.94</v>
      </c>
      <c r="J7" s="384">
        <v>190.94</v>
      </c>
      <c r="K7" s="384">
        <f t="shared" si="0"/>
        <v>0</v>
      </c>
      <c r="L7" s="283">
        <f t="shared" si="1"/>
        <v>1</v>
      </c>
      <c r="M7" s="385">
        <f t="shared" si="2"/>
        <v>1</v>
      </c>
      <c r="N7" s="385">
        <f t="shared" si="3"/>
        <v>0</v>
      </c>
    </row>
    <row r="8" spans="1:14" x14ac:dyDescent="0.25">
      <c r="A8" s="120">
        <v>756</v>
      </c>
      <c r="B8" s="120" t="s">
        <v>268</v>
      </c>
      <c r="C8" s="120" t="s">
        <v>3037</v>
      </c>
      <c r="D8" s="120" t="s">
        <v>2930</v>
      </c>
      <c r="E8" s="120">
        <v>222.15</v>
      </c>
      <c r="F8" s="120">
        <v>4.4000000000000004</v>
      </c>
      <c r="G8" s="120">
        <v>0.69</v>
      </c>
      <c r="H8" s="120" t="s">
        <v>3031</v>
      </c>
      <c r="I8" s="384">
        <v>227.24</v>
      </c>
      <c r="J8" s="384">
        <v>227.24</v>
      </c>
      <c r="K8" s="384">
        <f t="shared" si="0"/>
        <v>0</v>
      </c>
      <c r="L8" s="283">
        <f t="shared" si="1"/>
        <v>1</v>
      </c>
      <c r="M8" s="385">
        <f t="shared" si="2"/>
        <v>1</v>
      </c>
      <c r="N8" s="385">
        <f t="shared" si="3"/>
        <v>0</v>
      </c>
    </row>
    <row r="9" spans="1:14" x14ac:dyDescent="0.25">
      <c r="A9" s="120">
        <v>757</v>
      </c>
      <c r="B9" s="120" t="s">
        <v>197</v>
      </c>
      <c r="C9" s="120" t="s">
        <v>3038</v>
      </c>
      <c r="D9" s="120" t="s">
        <v>2931</v>
      </c>
      <c r="E9" s="120">
        <v>253.29</v>
      </c>
      <c r="F9" s="120">
        <v>4.4000000000000004</v>
      </c>
      <c r="G9" s="120">
        <v>0.43</v>
      </c>
      <c r="H9" s="120" t="s">
        <v>3031</v>
      </c>
      <c r="I9" s="384">
        <v>258.12</v>
      </c>
      <c r="J9" s="384">
        <v>258.12</v>
      </c>
      <c r="K9" s="384">
        <f t="shared" si="0"/>
        <v>0</v>
      </c>
      <c r="L9" s="283">
        <f t="shared" si="1"/>
        <v>1</v>
      </c>
      <c r="M9" s="385">
        <f t="shared" si="2"/>
        <v>1</v>
      </c>
      <c r="N9" s="385">
        <f t="shared" si="3"/>
        <v>0</v>
      </c>
    </row>
    <row r="10" spans="1:14" x14ac:dyDescent="0.25">
      <c r="A10" s="120">
        <v>191</v>
      </c>
      <c r="B10" s="120" t="s">
        <v>576</v>
      </c>
      <c r="C10" s="120" t="s">
        <v>3039</v>
      </c>
      <c r="D10" s="120" t="s">
        <v>2932</v>
      </c>
      <c r="E10" s="120">
        <v>220.64</v>
      </c>
      <c r="F10" s="120">
        <v>3.61</v>
      </c>
      <c r="G10" s="120">
        <v>0.42</v>
      </c>
      <c r="H10" s="120" t="s">
        <v>3031</v>
      </c>
      <c r="I10" s="384">
        <v>224.67</v>
      </c>
      <c r="J10" s="384">
        <v>224.67</v>
      </c>
      <c r="K10" s="384">
        <f t="shared" si="0"/>
        <v>0</v>
      </c>
      <c r="L10" s="283">
        <f t="shared" si="1"/>
        <v>1</v>
      </c>
      <c r="M10" s="385">
        <f t="shared" si="2"/>
        <v>1</v>
      </c>
      <c r="N10" s="385">
        <f t="shared" si="3"/>
        <v>0</v>
      </c>
    </row>
    <row r="11" spans="1:14" x14ac:dyDescent="0.25">
      <c r="A11" s="120">
        <v>759</v>
      </c>
      <c r="B11" s="120" t="s">
        <v>188</v>
      </c>
      <c r="C11" s="120" t="s">
        <v>3040</v>
      </c>
      <c r="D11" s="120" t="s">
        <v>2933</v>
      </c>
      <c r="E11" s="120">
        <v>273.91000000000003</v>
      </c>
      <c r="F11" s="120">
        <v>4.4000000000000004</v>
      </c>
      <c r="G11" s="120">
        <v>0.69</v>
      </c>
      <c r="H11" s="120" t="s">
        <v>3031</v>
      </c>
      <c r="I11" s="384">
        <v>279</v>
      </c>
      <c r="J11" s="384">
        <v>279</v>
      </c>
      <c r="K11" s="384">
        <f t="shared" si="0"/>
        <v>0</v>
      </c>
      <c r="L11" s="283">
        <f t="shared" si="1"/>
        <v>1</v>
      </c>
      <c r="M11" s="385">
        <f t="shared" si="2"/>
        <v>1</v>
      </c>
      <c r="N11" s="385">
        <f t="shared" si="3"/>
        <v>0</v>
      </c>
    </row>
    <row r="12" spans="1:14" x14ac:dyDescent="0.25">
      <c r="A12" s="120">
        <v>800</v>
      </c>
      <c r="B12" s="120" t="s">
        <v>158</v>
      </c>
      <c r="C12" s="120" t="s">
        <v>3041</v>
      </c>
      <c r="D12" s="120" t="s">
        <v>2774</v>
      </c>
      <c r="E12" s="120">
        <v>67.39</v>
      </c>
      <c r="F12" s="120" t="s">
        <v>3031</v>
      </c>
      <c r="G12" s="120" t="s">
        <v>3031</v>
      </c>
      <c r="H12" s="120" t="s">
        <v>3031</v>
      </c>
      <c r="I12" s="384">
        <v>67.39</v>
      </c>
      <c r="J12" s="384">
        <v>113.25</v>
      </c>
      <c r="K12" s="384">
        <f t="shared" si="0"/>
        <v>45.86</v>
      </c>
      <c r="L12" s="283">
        <f t="shared" si="1"/>
        <v>1</v>
      </c>
      <c r="M12" s="385">
        <f t="shared" si="2"/>
        <v>0.6</v>
      </c>
      <c r="N12" s="385">
        <f t="shared" si="3"/>
        <v>0.4</v>
      </c>
    </row>
    <row r="13" spans="1:14" x14ac:dyDescent="0.25">
      <c r="A13" s="120">
        <v>802</v>
      </c>
      <c r="B13" s="120" t="s">
        <v>252</v>
      </c>
      <c r="C13" s="120" t="s">
        <v>3042</v>
      </c>
      <c r="D13" s="120" t="s">
        <v>2775</v>
      </c>
      <c r="E13" s="120">
        <v>84.46</v>
      </c>
      <c r="F13" s="120" t="s">
        <v>3031</v>
      </c>
      <c r="G13" s="120" t="s">
        <v>3031</v>
      </c>
      <c r="H13" s="120" t="s">
        <v>3031</v>
      </c>
      <c r="I13" s="384">
        <v>84.46</v>
      </c>
      <c r="J13" s="384">
        <v>130.31</v>
      </c>
      <c r="K13" s="384">
        <f t="shared" si="0"/>
        <v>45.850000000000009</v>
      </c>
      <c r="L13" s="283">
        <f t="shared" si="1"/>
        <v>1</v>
      </c>
      <c r="M13" s="385">
        <f t="shared" si="2"/>
        <v>0.65</v>
      </c>
      <c r="N13" s="385">
        <f t="shared" si="3"/>
        <v>0.35</v>
      </c>
    </row>
    <row r="14" spans="1:14" x14ac:dyDescent="0.25">
      <c r="A14" s="120">
        <v>804</v>
      </c>
      <c r="B14" s="120" t="s">
        <v>235</v>
      </c>
      <c r="C14" s="120" t="s">
        <v>3043</v>
      </c>
      <c r="D14" s="120" t="s">
        <v>2942</v>
      </c>
      <c r="E14" s="120">
        <v>108.21</v>
      </c>
      <c r="F14" s="120" t="s">
        <v>3031</v>
      </c>
      <c r="G14" s="120" t="s">
        <v>3031</v>
      </c>
      <c r="H14" s="120" t="s">
        <v>3031</v>
      </c>
      <c r="I14" s="384">
        <v>108.21</v>
      </c>
      <c r="J14" s="384">
        <v>154.07</v>
      </c>
      <c r="K14" s="384">
        <f t="shared" si="0"/>
        <v>45.86</v>
      </c>
      <c r="L14" s="283">
        <f t="shared" si="1"/>
        <v>1</v>
      </c>
      <c r="M14" s="385">
        <f t="shared" si="2"/>
        <v>0.7</v>
      </c>
      <c r="N14" s="385">
        <f t="shared" si="3"/>
        <v>0.3</v>
      </c>
    </row>
    <row r="15" spans="1:14" x14ac:dyDescent="0.25">
      <c r="A15" s="120">
        <v>806</v>
      </c>
      <c r="B15" s="120" t="s">
        <v>318</v>
      </c>
      <c r="C15" s="120" t="s">
        <v>3044</v>
      </c>
      <c r="D15" s="120" t="s">
        <v>2943</v>
      </c>
      <c r="E15" s="120">
        <v>123.18</v>
      </c>
      <c r="F15" s="120" t="s">
        <v>3031</v>
      </c>
      <c r="G15" s="120" t="s">
        <v>3031</v>
      </c>
      <c r="H15" s="120" t="s">
        <v>3031</v>
      </c>
      <c r="I15" s="384">
        <v>123.18</v>
      </c>
      <c r="J15" s="384">
        <v>169.04</v>
      </c>
      <c r="K15" s="384">
        <f t="shared" si="0"/>
        <v>45.859999999999985</v>
      </c>
      <c r="L15" s="283">
        <f t="shared" si="1"/>
        <v>1</v>
      </c>
      <c r="M15" s="385">
        <f t="shared" si="2"/>
        <v>0.73</v>
      </c>
      <c r="N15" s="385">
        <f t="shared" si="3"/>
        <v>0.27</v>
      </c>
    </row>
    <row r="16" spans="1:14" x14ac:dyDescent="0.25">
      <c r="A16" s="120">
        <v>808</v>
      </c>
      <c r="B16" s="120" t="s">
        <v>202</v>
      </c>
      <c r="C16" s="120" t="s">
        <v>3045</v>
      </c>
      <c r="D16" s="120" t="s">
        <v>2944</v>
      </c>
      <c r="E16" s="120">
        <v>151.05000000000001</v>
      </c>
      <c r="F16" s="120" t="s">
        <v>3031</v>
      </c>
      <c r="G16" s="120" t="s">
        <v>3031</v>
      </c>
      <c r="H16" s="120" t="s">
        <v>3031</v>
      </c>
      <c r="I16" s="384">
        <v>151.05000000000001</v>
      </c>
      <c r="J16" s="384">
        <v>212.04000000000002</v>
      </c>
      <c r="K16" s="384">
        <f t="shared" si="0"/>
        <v>60.990000000000009</v>
      </c>
      <c r="L16" s="283">
        <f t="shared" si="1"/>
        <v>1</v>
      </c>
      <c r="M16" s="385">
        <f t="shared" si="2"/>
        <v>0.71</v>
      </c>
      <c r="N16" s="385">
        <f t="shared" si="3"/>
        <v>0.28999999999999998</v>
      </c>
    </row>
    <row r="17" spans="1:14" x14ac:dyDescent="0.25">
      <c r="A17" s="120">
        <v>810</v>
      </c>
      <c r="B17" s="120" t="s">
        <v>64</v>
      </c>
      <c r="C17" s="120" t="s">
        <v>3046</v>
      </c>
      <c r="D17" s="120" t="s">
        <v>2945</v>
      </c>
      <c r="E17" s="120">
        <v>144.97</v>
      </c>
      <c r="F17" s="120" t="s">
        <v>3031</v>
      </c>
      <c r="G17" s="120" t="s">
        <v>3031</v>
      </c>
      <c r="H17" s="120" t="s">
        <v>3031</v>
      </c>
      <c r="I17" s="384">
        <v>144.97</v>
      </c>
      <c r="J17" s="384">
        <v>205.9</v>
      </c>
      <c r="K17" s="384">
        <f t="shared" si="0"/>
        <v>60.930000000000007</v>
      </c>
      <c r="L17" s="283">
        <f t="shared" si="1"/>
        <v>1</v>
      </c>
      <c r="M17" s="385">
        <f t="shared" si="2"/>
        <v>0.7</v>
      </c>
      <c r="N17" s="385">
        <f t="shared" si="3"/>
        <v>0.3</v>
      </c>
    </row>
    <row r="18" spans="1:14" x14ac:dyDescent="0.25">
      <c r="A18" s="120">
        <v>812</v>
      </c>
      <c r="B18" s="120" t="s">
        <v>329</v>
      </c>
      <c r="C18" s="120" t="s">
        <v>3047</v>
      </c>
      <c r="D18" s="120" t="s">
        <v>2946</v>
      </c>
      <c r="E18" s="120">
        <v>187.92</v>
      </c>
      <c r="F18" s="120" t="s">
        <v>3031</v>
      </c>
      <c r="G18" s="120" t="s">
        <v>3031</v>
      </c>
      <c r="H18" s="120" t="s">
        <v>3031</v>
      </c>
      <c r="I18" s="384">
        <v>187.92</v>
      </c>
      <c r="J18" s="384">
        <v>284.39000000000004</v>
      </c>
      <c r="K18" s="384">
        <f t="shared" si="0"/>
        <v>96.470000000000056</v>
      </c>
      <c r="L18" s="283">
        <f t="shared" si="1"/>
        <v>1</v>
      </c>
      <c r="M18" s="385">
        <f t="shared" si="2"/>
        <v>0.66</v>
      </c>
      <c r="N18" s="385">
        <f t="shared" si="3"/>
        <v>0.34</v>
      </c>
    </row>
    <row r="19" spans="1:14" x14ac:dyDescent="0.25">
      <c r="A19" s="120">
        <v>814</v>
      </c>
      <c r="B19" s="120" t="s">
        <v>282</v>
      </c>
      <c r="C19" s="120" t="s">
        <v>3048</v>
      </c>
      <c r="D19" s="120" t="s">
        <v>2947</v>
      </c>
      <c r="E19" s="120">
        <v>177.23</v>
      </c>
      <c r="F19" s="120" t="s">
        <v>3031</v>
      </c>
      <c r="G19" s="120" t="s">
        <v>3031</v>
      </c>
      <c r="H19" s="120" t="s">
        <v>3031</v>
      </c>
      <c r="I19" s="384">
        <v>177.23</v>
      </c>
      <c r="J19" s="384">
        <v>240.01000000000002</v>
      </c>
      <c r="K19" s="384">
        <f t="shared" si="0"/>
        <v>62.78000000000003</v>
      </c>
      <c r="L19" s="283">
        <f t="shared" si="1"/>
        <v>1</v>
      </c>
      <c r="M19" s="385">
        <f t="shared" si="2"/>
        <v>0.74</v>
      </c>
      <c r="N19" s="385">
        <f t="shared" si="3"/>
        <v>0.26</v>
      </c>
    </row>
    <row r="20" spans="1:14" x14ac:dyDescent="0.25">
      <c r="A20" s="120">
        <v>780</v>
      </c>
      <c r="B20" s="120" t="s">
        <v>126</v>
      </c>
      <c r="C20" s="120" t="s">
        <v>3049</v>
      </c>
      <c r="D20" s="120" t="s">
        <v>2782</v>
      </c>
      <c r="E20" s="120">
        <v>135.03</v>
      </c>
      <c r="F20" s="120" t="s">
        <v>3031</v>
      </c>
      <c r="G20" s="120" t="s">
        <v>3031</v>
      </c>
      <c r="H20" s="120" t="s">
        <v>3031</v>
      </c>
      <c r="I20" s="384">
        <v>135.03</v>
      </c>
      <c r="J20" s="384">
        <v>135.03</v>
      </c>
      <c r="K20" s="384">
        <f t="shared" si="0"/>
        <v>0</v>
      </c>
      <c r="L20" s="283">
        <f t="shared" si="1"/>
        <v>1</v>
      </c>
      <c r="M20" s="385">
        <f t="shared" si="2"/>
        <v>1</v>
      </c>
      <c r="N20" s="385">
        <f t="shared" si="3"/>
        <v>0</v>
      </c>
    </row>
    <row r="21" spans="1:14" x14ac:dyDescent="0.25">
      <c r="A21" s="120">
        <v>781</v>
      </c>
      <c r="B21" s="120" t="s">
        <v>257</v>
      </c>
      <c r="C21" s="120" t="s">
        <v>3050</v>
      </c>
      <c r="D21" s="120" t="s">
        <v>2783</v>
      </c>
      <c r="E21" s="120">
        <v>175.55</v>
      </c>
      <c r="F21" s="120" t="s">
        <v>3031</v>
      </c>
      <c r="G21" s="120" t="s">
        <v>3031</v>
      </c>
      <c r="H21" s="120" t="s">
        <v>3031</v>
      </c>
      <c r="I21" s="384">
        <v>175.55</v>
      </c>
      <c r="J21" s="384">
        <v>175.55</v>
      </c>
      <c r="K21" s="384">
        <f t="shared" si="0"/>
        <v>0</v>
      </c>
      <c r="L21" s="283">
        <f t="shared" si="1"/>
        <v>1</v>
      </c>
      <c r="M21" s="385">
        <f t="shared" si="2"/>
        <v>1</v>
      </c>
      <c r="N21" s="385">
        <f t="shared" si="3"/>
        <v>0</v>
      </c>
    </row>
    <row r="22" spans="1:14" x14ac:dyDescent="0.25">
      <c r="A22" s="120">
        <v>782</v>
      </c>
      <c r="B22" s="120" t="s">
        <v>272</v>
      </c>
      <c r="C22" s="120" t="s">
        <v>3051</v>
      </c>
      <c r="D22" s="120" t="s">
        <v>2784</v>
      </c>
      <c r="E22" s="120">
        <v>217.66</v>
      </c>
      <c r="F22" s="120" t="s">
        <v>3031</v>
      </c>
      <c r="G22" s="120" t="s">
        <v>3031</v>
      </c>
      <c r="H22" s="120" t="s">
        <v>3031</v>
      </c>
      <c r="I22" s="384">
        <v>217.66</v>
      </c>
      <c r="J22" s="384">
        <v>217.66</v>
      </c>
      <c r="K22" s="384">
        <f t="shared" si="0"/>
        <v>0</v>
      </c>
      <c r="L22" s="283">
        <f t="shared" si="1"/>
        <v>1</v>
      </c>
      <c r="M22" s="385">
        <f t="shared" si="2"/>
        <v>1</v>
      </c>
      <c r="N22" s="385">
        <f t="shared" si="3"/>
        <v>0</v>
      </c>
    </row>
    <row r="23" spans="1:14" x14ac:dyDescent="0.25">
      <c r="A23" s="120">
        <v>783</v>
      </c>
      <c r="B23" s="120" t="s">
        <v>241</v>
      </c>
      <c r="C23" s="120" t="s">
        <v>3052</v>
      </c>
      <c r="D23" s="120" t="s">
        <v>2785</v>
      </c>
      <c r="E23" s="120">
        <v>257.89</v>
      </c>
      <c r="F23" s="120" t="s">
        <v>3031</v>
      </c>
      <c r="G23" s="120" t="s">
        <v>3031</v>
      </c>
      <c r="H23" s="120" t="s">
        <v>3031</v>
      </c>
      <c r="I23" s="384">
        <v>257.89</v>
      </c>
      <c r="J23" s="384">
        <v>257.89</v>
      </c>
      <c r="K23" s="384">
        <f t="shared" si="0"/>
        <v>0</v>
      </c>
      <c r="L23" s="283">
        <f t="shared" si="1"/>
        <v>1</v>
      </c>
      <c r="M23" s="385">
        <f t="shared" si="2"/>
        <v>1</v>
      </c>
      <c r="N23" s="385">
        <f t="shared" si="3"/>
        <v>0</v>
      </c>
    </row>
    <row r="24" spans="1:14" x14ac:dyDescent="0.25">
      <c r="A24" s="120">
        <v>784</v>
      </c>
      <c r="B24" s="120" t="s">
        <v>206</v>
      </c>
      <c r="C24" s="120" t="s">
        <v>3053</v>
      </c>
      <c r="D24" s="120" t="s">
        <v>2786</v>
      </c>
      <c r="E24" s="120">
        <v>256.68</v>
      </c>
      <c r="F24" s="120" t="s">
        <v>3031</v>
      </c>
      <c r="G24" s="120" t="s">
        <v>3031</v>
      </c>
      <c r="H24" s="120" t="s">
        <v>3031</v>
      </c>
      <c r="I24" s="384">
        <v>256.68</v>
      </c>
      <c r="J24" s="384">
        <v>256.68</v>
      </c>
      <c r="K24" s="384">
        <f t="shared" si="0"/>
        <v>0</v>
      </c>
      <c r="L24" s="283">
        <f t="shared" si="1"/>
        <v>1</v>
      </c>
      <c r="M24" s="385">
        <f t="shared" si="2"/>
        <v>1</v>
      </c>
      <c r="N24" s="385">
        <f t="shared" si="3"/>
        <v>0</v>
      </c>
    </row>
    <row r="25" spans="1:14" x14ac:dyDescent="0.25">
      <c r="A25" s="120">
        <v>790</v>
      </c>
      <c r="B25" s="120" t="s">
        <v>566</v>
      </c>
      <c r="C25" s="120" t="s">
        <v>3054</v>
      </c>
      <c r="D25" s="120" t="s">
        <v>2787</v>
      </c>
      <c r="E25" s="120">
        <v>335.85</v>
      </c>
      <c r="F25" s="120" t="s">
        <v>3031</v>
      </c>
      <c r="G25" s="120" t="s">
        <v>3031</v>
      </c>
      <c r="H25" s="120" t="s">
        <v>3031</v>
      </c>
      <c r="I25" s="384">
        <v>335.85</v>
      </c>
      <c r="J25" s="384">
        <v>335.85</v>
      </c>
      <c r="K25" s="384">
        <f t="shared" si="0"/>
        <v>0</v>
      </c>
      <c r="L25" s="283">
        <f t="shared" si="1"/>
        <v>1</v>
      </c>
      <c r="M25" s="385">
        <f t="shared" si="2"/>
        <v>1</v>
      </c>
      <c r="N25" s="385">
        <f t="shared" si="3"/>
        <v>0</v>
      </c>
    </row>
    <row r="26" spans="1:14" x14ac:dyDescent="0.25">
      <c r="A26" s="120">
        <v>820</v>
      </c>
      <c r="B26" s="120" t="s">
        <v>217</v>
      </c>
      <c r="C26" s="120" t="s">
        <v>3055</v>
      </c>
      <c r="D26" s="120" t="s">
        <v>2788</v>
      </c>
      <c r="E26" s="120">
        <v>90.34</v>
      </c>
      <c r="F26" s="120" t="s">
        <v>3031</v>
      </c>
      <c r="G26" s="120" t="s">
        <v>3031</v>
      </c>
      <c r="H26" s="120" t="s">
        <v>3031</v>
      </c>
      <c r="I26" s="384">
        <v>90.34</v>
      </c>
      <c r="J26" s="384">
        <v>145.44</v>
      </c>
      <c r="K26" s="384">
        <f t="shared" si="0"/>
        <v>55.099999999999994</v>
      </c>
      <c r="L26" s="283">
        <f t="shared" si="1"/>
        <v>1</v>
      </c>
      <c r="M26" s="385">
        <f t="shared" si="2"/>
        <v>0.62</v>
      </c>
      <c r="N26" s="385">
        <f t="shared" si="3"/>
        <v>0.38</v>
      </c>
    </row>
    <row r="27" spans="1:14" x14ac:dyDescent="0.25">
      <c r="A27" s="120">
        <v>822</v>
      </c>
      <c r="B27" s="120" t="s">
        <v>123</v>
      </c>
      <c r="C27" s="120" t="s">
        <v>3056</v>
      </c>
      <c r="D27" s="120" t="s">
        <v>2789</v>
      </c>
      <c r="E27" s="120">
        <v>119.6</v>
      </c>
      <c r="F27" s="120" t="s">
        <v>3031</v>
      </c>
      <c r="G27" s="120" t="s">
        <v>3031</v>
      </c>
      <c r="H27" s="120" t="s">
        <v>3031</v>
      </c>
      <c r="I27" s="384">
        <v>119.6</v>
      </c>
      <c r="J27" s="384">
        <v>170.55</v>
      </c>
      <c r="K27" s="384">
        <f t="shared" si="0"/>
        <v>50.950000000000017</v>
      </c>
      <c r="L27" s="283">
        <f t="shared" si="1"/>
        <v>1</v>
      </c>
      <c r="M27" s="385">
        <f t="shared" si="2"/>
        <v>0.7</v>
      </c>
      <c r="N27" s="385">
        <f t="shared" si="3"/>
        <v>0.3</v>
      </c>
    </row>
    <row r="28" spans="1:14" x14ac:dyDescent="0.25">
      <c r="A28" s="120">
        <v>824</v>
      </c>
      <c r="B28" s="120" t="s">
        <v>181</v>
      </c>
      <c r="C28" s="120" t="s">
        <v>3057</v>
      </c>
      <c r="D28" s="120" t="s">
        <v>2961</v>
      </c>
      <c r="E28" s="120">
        <v>129.37</v>
      </c>
      <c r="F28" s="120" t="s">
        <v>3031</v>
      </c>
      <c r="G28" s="120" t="s">
        <v>3031</v>
      </c>
      <c r="H28" s="120" t="s">
        <v>3031</v>
      </c>
      <c r="I28" s="384">
        <v>129.37</v>
      </c>
      <c r="J28" s="384">
        <v>184.48000000000002</v>
      </c>
      <c r="K28" s="384">
        <f t="shared" si="0"/>
        <v>55.110000000000014</v>
      </c>
      <c r="L28" s="283">
        <f t="shared" si="1"/>
        <v>1</v>
      </c>
      <c r="M28" s="385">
        <f t="shared" si="2"/>
        <v>0.7</v>
      </c>
      <c r="N28" s="385">
        <f t="shared" si="3"/>
        <v>0.3</v>
      </c>
    </row>
    <row r="29" spans="1:14" x14ac:dyDescent="0.25">
      <c r="A29" s="120">
        <v>826</v>
      </c>
      <c r="B29" s="120" t="s">
        <v>233</v>
      </c>
      <c r="C29" s="120" t="s">
        <v>3058</v>
      </c>
      <c r="D29" s="120" t="s">
        <v>2962</v>
      </c>
      <c r="E29" s="120">
        <v>146.38999999999999</v>
      </c>
      <c r="F29" s="120" t="s">
        <v>3031</v>
      </c>
      <c r="G29" s="120" t="s">
        <v>3031</v>
      </c>
      <c r="H29" s="120" t="s">
        <v>3031</v>
      </c>
      <c r="I29" s="384">
        <v>146.38999999999999</v>
      </c>
      <c r="J29" s="384">
        <v>197.35</v>
      </c>
      <c r="K29" s="384">
        <f t="shared" si="0"/>
        <v>50.960000000000008</v>
      </c>
      <c r="L29" s="283">
        <f t="shared" si="1"/>
        <v>1</v>
      </c>
      <c r="M29" s="385">
        <f t="shared" si="2"/>
        <v>0.74</v>
      </c>
      <c r="N29" s="385">
        <f t="shared" si="3"/>
        <v>0.26</v>
      </c>
    </row>
    <row r="30" spans="1:14" x14ac:dyDescent="0.25">
      <c r="A30" s="120">
        <v>828</v>
      </c>
      <c r="B30" s="120" t="s">
        <v>155</v>
      </c>
      <c r="C30" s="120" t="s">
        <v>3059</v>
      </c>
      <c r="D30" s="120" t="s">
        <v>2963</v>
      </c>
      <c r="E30" s="120">
        <v>173.47</v>
      </c>
      <c r="F30" s="120" t="s">
        <v>3031</v>
      </c>
      <c r="G30" s="120" t="s">
        <v>3031</v>
      </c>
      <c r="H30" s="120" t="s">
        <v>3031</v>
      </c>
      <c r="I30" s="384">
        <v>173.47</v>
      </c>
      <c r="J30" s="384">
        <v>229.36</v>
      </c>
      <c r="K30" s="384">
        <f t="shared" si="0"/>
        <v>55.890000000000015</v>
      </c>
      <c r="L30" s="283">
        <f t="shared" si="1"/>
        <v>1</v>
      </c>
      <c r="M30" s="385">
        <f t="shared" si="2"/>
        <v>0.76</v>
      </c>
      <c r="N30" s="385">
        <f t="shared" si="3"/>
        <v>0.24</v>
      </c>
    </row>
    <row r="31" spans="1:14" x14ac:dyDescent="0.25">
      <c r="A31" s="120">
        <v>830</v>
      </c>
      <c r="B31" s="120" t="s">
        <v>380</v>
      </c>
      <c r="C31" s="120" t="s">
        <v>3060</v>
      </c>
      <c r="D31" s="120" t="s">
        <v>2964</v>
      </c>
      <c r="E31" s="120">
        <v>192.71</v>
      </c>
      <c r="F31" s="120" t="s">
        <v>3031</v>
      </c>
      <c r="G31" s="120" t="s">
        <v>3031</v>
      </c>
      <c r="H31" s="120" t="s">
        <v>3031</v>
      </c>
      <c r="I31" s="384">
        <v>192.71</v>
      </c>
      <c r="J31" s="384">
        <v>246.31</v>
      </c>
      <c r="K31" s="384">
        <f t="shared" si="0"/>
        <v>53.599999999999994</v>
      </c>
      <c r="L31" s="283">
        <f t="shared" si="1"/>
        <v>1</v>
      </c>
      <c r="M31" s="385">
        <f t="shared" si="2"/>
        <v>0.78</v>
      </c>
      <c r="N31" s="385">
        <f t="shared" si="3"/>
        <v>0.22</v>
      </c>
    </row>
    <row r="32" spans="1:14" x14ac:dyDescent="0.25">
      <c r="A32" s="120">
        <v>832</v>
      </c>
      <c r="B32" s="120" t="s">
        <v>178</v>
      </c>
      <c r="C32" s="120" t="s">
        <v>3061</v>
      </c>
      <c r="D32" s="120" t="s">
        <v>2965</v>
      </c>
      <c r="E32" s="120">
        <v>207.69</v>
      </c>
      <c r="F32" s="120" t="s">
        <v>3031</v>
      </c>
      <c r="G32" s="120" t="s">
        <v>3031</v>
      </c>
      <c r="H32" s="120" t="s">
        <v>3031</v>
      </c>
      <c r="I32" s="384">
        <v>207.69</v>
      </c>
      <c r="J32" s="384">
        <v>254.46</v>
      </c>
      <c r="K32" s="384">
        <f t="shared" si="0"/>
        <v>46.77000000000001</v>
      </c>
      <c r="L32" s="283">
        <f t="shared" si="1"/>
        <v>1</v>
      </c>
      <c r="M32" s="385">
        <f t="shared" si="2"/>
        <v>0.82</v>
      </c>
      <c r="N32" s="385">
        <f t="shared" si="3"/>
        <v>0.18</v>
      </c>
    </row>
    <row r="33" spans="1:14" x14ac:dyDescent="0.25">
      <c r="A33" s="120">
        <v>850</v>
      </c>
      <c r="B33" s="120" t="s">
        <v>307</v>
      </c>
      <c r="C33" s="120" t="s">
        <v>3062</v>
      </c>
      <c r="D33" s="120" t="s">
        <v>2975</v>
      </c>
      <c r="E33" s="120">
        <v>118.2</v>
      </c>
      <c r="F33" s="120" t="s">
        <v>3031</v>
      </c>
      <c r="G33" s="120" t="s">
        <v>3031</v>
      </c>
      <c r="H33" s="120" t="s">
        <v>3031</v>
      </c>
      <c r="I33" s="384">
        <v>118.2</v>
      </c>
      <c r="J33" s="384">
        <v>179.05</v>
      </c>
      <c r="K33" s="384">
        <f t="shared" si="0"/>
        <v>60.850000000000009</v>
      </c>
      <c r="L33" s="283">
        <f t="shared" si="1"/>
        <v>1</v>
      </c>
      <c r="M33" s="385">
        <f t="shared" si="2"/>
        <v>0.66</v>
      </c>
      <c r="N33" s="385">
        <f t="shared" si="3"/>
        <v>0.34</v>
      </c>
    </row>
    <row r="34" spans="1:14" x14ac:dyDescent="0.25">
      <c r="A34" s="120">
        <v>852</v>
      </c>
      <c r="B34" s="120" t="s">
        <v>227</v>
      </c>
      <c r="C34" s="120" t="s">
        <v>3063</v>
      </c>
      <c r="D34" s="120" t="s">
        <v>2976</v>
      </c>
      <c r="E34" s="120">
        <v>231.62</v>
      </c>
      <c r="F34" s="120" t="s">
        <v>3031</v>
      </c>
      <c r="G34" s="120" t="s">
        <v>3031</v>
      </c>
      <c r="H34" s="120" t="s">
        <v>3031</v>
      </c>
      <c r="I34" s="384">
        <v>231.62</v>
      </c>
      <c r="J34" s="384">
        <v>307.2</v>
      </c>
      <c r="K34" s="384">
        <f t="shared" si="0"/>
        <v>75.579999999999984</v>
      </c>
      <c r="L34" s="283">
        <f t="shared" si="1"/>
        <v>1</v>
      </c>
      <c r="M34" s="385">
        <f t="shared" si="2"/>
        <v>0.75</v>
      </c>
      <c r="N34" s="385">
        <f t="shared" si="3"/>
        <v>0.25</v>
      </c>
    </row>
    <row r="35" spans="1:14" x14ac:dyDescent="0.25">
      <c r="A35" s="120">
        <v>854</v>
      </c>
      <c r="B35" s="120" t="s">
        <v>103</v>
      </c>
      <c r="C35" s="120" t="s">
        <v>3064</v>
      </c>
      <c r="D35" s="120" t="s">
        <v>2977</v>
      </c>
      <c r="E35" s="120">
        <v>266.31</v>
      </c>
      <c r="F35" s="120" t="s">
        <v>3031</v>
      </c>
      <c r="G35" s="120" t="s">
        <v>3031</v>
      </c>
      <c r="H35" s="120" t="s">
        <v>3031</v>
      </c>
      <c r="I35" s="384">
        <v>266.31</v>
      </c>
      <c r="J35" s="384">
        <v>353.17</v>
      </c>
      <c r="K35" s="384">
        <f t="shared" si="0"/>
        <v>86.860000000000014</v>
      </c>
      <c r="L35" s="283">
        <f t="shared" si="1"/>
        <v>1</v>
      </c>
      <c r="M35" s="385">
        <f t="shared" si="2"/>
        <v>0.75</v>
      </c>
      <c r="N35" s="385">
        <f t="shared" si="3"/>
        <v>0.25</v>
      </c>
    </row>
    <row r="36" spans="1:14" x14ac:dyDescent="0.25">
      <c r="A36" s="120">
        <v>856</v>
      </c>
      <c r="B36" s="120" t="s">
        <v>376</v>
      </c>
      <c r="C36" s="120" t="s">
        <v>3065</v>
      </c>
      <c r="D36" s="120" t="s">
        <v>2978</v>
      </c>
      <c r="E36" s="120">
        <v>179.04</v>
      </c>
      <c r="F36" s="120" t="s">
        <v>3031</v>
      </c>
      <c r="G36" s="120" t="s">
        <v>3031</v>
      </c>
      <c r="H36" s="120" t="s">
        <v>3031</v>
      </c>
      <c r="I36" s="384">
        <v>179.04</v>
      </c>
      <c r="J36" s="384">
        <v>239.86</v>
      </c>
      <c r="K36" s="384">
        <f t="shared" si="0"/>
        <v>60.820000000000022</v>
      </c>
      <c r="L36" s="283">
        <f t="shared" si="1"/>
        <v>1</v>
      </c>
      <c r="M36" s="385">
        <f t="shared" si="2"/>
        <v>0.75</v>
      </c>
      <c r="N36" s="385">
        <f t="shared" si="3"/>
        <v>0.25</v>
      </c>
    </row>
    <row r="37" spans="1:14" x14ac:dyDescent="0.25">
      <c r="A37" s="120">
        <v>840</v>
      </c>
      <c r="B37" s="120" t="s">
        <v>113</v>
      </c>
      <c r="C37" s="120" t="s">
        <v>3066</v>
      </c>
      <c r="D37" s="120" t="s">
        <v>2799</v>
      </c>
      <c r="E37" s="120">
        <v>71.83</v>
      </c>
      <c r="F37" s="120" t="s">
        <v>3031</v>
      </c>
      <c r="G37" s="120" t="s">
        <v>3031</v>
      </c>
      <c r="H37" s="120" t="s">
        <v>3031</v>
      </c>
      <c r="I37" s="384">
        <v>71.83</v>
      </c>
      <c r="J37" s="384">
        <v>123.92999999999999</v>
      </c>
      <c r="K37" s="384">
        <f t="shared" si="0"/>
        <v>52.099999999999994</v>
      </c>
      <c r="L37" s="283">
        <f t="shared" si="1"/>
        <v>1</v>
      </c>
      <c r="M37" s="385">
        <f t="shared" si="2"/>
        <v>0.57999999999999996</v>
      </c>
      <c r="N37" s="385">
        <f t="shared" si="3"/>
        <v>0.42</v>
      </c>
    </row>
    <row r="38" spans="1:14" x14ac:dyDescent="0.25">
      <c r="A38" s="120">
        <v>842</v>
      </c>
      <c r="B38" s="120" t="s">
        <v>200</v>
      </c>
      <c r="C38" s="120" t="s">
        <v>3067</v>
      </c>
      <c r="D38" s="120" t="s">
        <v>2800</v>
      </c>
      <c r="E38" s="120">
        <v>106.49</v>
      </c>
      <c r="F38" s="120" t="s">
        <v>3031</v>
      </c>
      <c r="G38" s="120" t="s">
        <v>3031</v>
      </c>
      <c r="H38" s="120" t="s">
        <v>3031</v>
      </c>
      <c r="I38" s="384">
        <v>106.49</v>
      </c>
      <c r="J38" s="384">
        <v>151.33000000000001</v>
      </c>
      <c r="K38" s="384">
        <f t="shared" si="0"/>
        <v>44.840000000000018</v>
      </c>
      <c r="L38" s="283">
        <f t="shared" si="1"/>
        <v>1</v>
      </c>
      <c r="M38" s="385">
        <f t="shared" si="2"/>
        <v>0.7</v>
      </c>
      <c r="N38" s="385">
        <f t="shared" si="3"/>
        <v>0.3</v>
      </c>
    </row>
    <row r="39" spans="1:14" x14ac:dyDescent="0.25">
      <c r="A39" s="120">
        <v>844</v>
      </c>
      <c r="B39" s="120" t="s">
        <v>286</v>
      </c>
      <c r="C39" s="120" t="s">
        <v>3068</v>
      </c>
      <c r="D39" s="120" t="s">
        <v>2988</v>
      </c>
      <c r="E39" s="120">
        <v>143.71</v>
      </c>
      <c r="F39" s="120" t="s">
        <v>3031</v>
      </c>
      <c r="G39" s="120" t="s">
        <v>3031</v>
      </c>
      <c r="H39" s="120" t="s">
        <v>3031</v>
      </c>
      <c r="I39" s="384">
        <v>143.71</v>
      </c>
      <c r="J39" s="384">
        <v>188.57000000000002</v>
      </c>
      <c r="K39" s="384">
        <f t="shared" si="0"/>
        <v>44.860000000000014</v>
      </c>
      <c r="L39" s="283">
        <f t="shared" si="1"/>
        <v>1</v>
      </c>
      <c r="M39" s="385">
        <f t="shared" si="2"/>
        <v>0.76</v>
      </c>
      <c r="N39" s="385">
        <f t="shared" si="3"/>
        <v>0.24</v>
      </c>
    </row>
    <row r="40" spans="1:14" x14ac:dyDescent="0.25">
      <c r="A40" s="120">
        <v>846</v>
      </c>
      <c r="B40" s="120" t="s">
        <v>58</v>
      </c>
      <c r="C40" s="120" t="s">
        <v>3069</v>
      </c>
      <c r="D40" s="120" t="s">
        <v>2989</v>
      </c>
      <c r="E40" s="120">
        <v>182.42</v>
      </c>
      <c r="F40" s="120" t="s">
        <v>3031</v>
      </c>
      <c r="G40" s="120" t="s">
        <v>3031</v>
      </c>
      <c r="H40" s="120" t="s">
        <v>3031</v>
      </c>
      <c r="I40" s="384">
        <v>182.42</v>
      </c>
      <c r="J40" s="384">
        <v>241.35</v>
      </c>
      <c r="K40" s="384">
        <f t="shared" si="0"/>
        <v>58.930000000000007</v>
      </c>
      <c r="L40" s="283">
        <f t="shared" si="1"/>
        <v>1</v>
      </c>
      <c r="M40" s="385">
        <f t="shared" si="2"/>
        <v>0.76</v>
      </c>
      <c r="N40" s="385">
        <f t="shared" si="3"/>
        <v>0.24</v>
      </c>
    </row>
    <row r="41" spans="1:14" x14ac:dyDescent="0.25">
      <c r="A41" s="120">
        <v>848</v>
      </c>
      <c r="B41" s="120" t="s">
        <v>258</v>
      </c>
      <c r="C41" s="120" t="s">
        <v>3070</v>
      </c>
      <c r="D41" s="120" t="s">
        <v>2990</v>
      </c>
      <c r="E41" s="120">
        <v>202.99</v>
      </c>
      <c r="F41" s="120" t="s">
        <v>3031</v>
      </c>
      <c r="G41" s="120" t="s">
        <v>3031</v>
      </c>
      <c r="H41" s="120" t="s">
        <v>3031</v>
      </c>
      <c r="I41" s="384">
        <v>202.99</v>
      </c>
      <c r="J41" s="384">
        <v>263.76</v>
      </c>
      <c r="K41" s="384">
        <f t="shared" si="0"/>
        <v>60.769999999999982</v>
      </c>
      <c r="L41" s="283">
        <f t="shared" si="1"/>
        <v>1</v>
      </c>
      <c r="M41" s="385">
        <f t="shared" si="2"/>
        <v>0.77</v>
      </c>
      <c r="N41" s="385">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B48"/>
  <sheetViews>
    <sheetView topLeftCell="A7" zoomScale="85" zoomScaleNormal="85" workbookViewId="0">
      <selection activeCell="H44" sqref="H44"/>
    </sheetView>
  </sheetViews>
  <sheetFormatPr defaultRowHeight="15" x14ac:dyDescent="0.25"/>
  <cols>
    <col min="1" max="1" width="8.5703125" bestFit="1" customWidth="1"/>
    <col min="2" max="2" width="11.7109375" bestFit="1" customWidth="1"/>
    <col min="3" max="3" width="13.42578125" style="2" customWidth="1"/>
    <col min="4" max="4" width="7.7109375" style="2" bestFit="1" customWidth="1"/>
    <col min="5" max="7" width="15.42578125" style="2" customWidth="1"/>
    <col min="8" max="8" width="15.28515625" style="2" bestFit="1" customWidth="1"/>
    <col min="9" max="9" width="8.7109375" style="2" bestFit="1" customWidth="1"/>
    <col min="10" max="10" width="11.42578125" style="2" customWidth="1"/>
    <col min="11" max="11" width="7.7109375" style="2" customWidth="1"/>
    <col min="12" max="17" width="9.28515625" style="2"/>
    <col min="18" max="18" width="10.5703125" style="38" bestFit="1" customWidth="1"/>
    <col min="19" max="19" width="9.28515625" style="2"/>
    <col min="20" max="20" width="12.7109375" style="2" customWidth="1"/>
    <col min="21" max="28" width="9.28515625" style="2"/>
  </cols>
  <sheetData>
    <row r="1" spans="1:28" s="4" customFormat="1" ht="60" x14ac:dyDescent="0.25">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x14ac:dyDescent="0.2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x14ac:dyDescent="0.2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x14ac:dyDescent="0.2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x14ac:dyDescent="0.2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x14ac:dyDescent="0.2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x14ac:dyDescent="0.2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x14ac:dyDescent="0.2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x14ac:dyDescent="0.2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x14ac:dyDescent="0.2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x14ac:dyDescent="0.2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x14ac:dyDescent="0.2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x14ac:dyDescent="0.2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x14ac:dyDescent="0.2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x14ac:dyDescent="0.2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x14ac:dyDescent="0.2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x14ac:dyDescent="0.2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x14ac:dyDescent="0.2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x14ac:dyDescent="0.2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x14ac:dyDescent="0.2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x14ac:dyDescent="0.2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x14ac:dyDescent="0.2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x14ac:dyDescent="0.2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x14ac:dyDescent="0.2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x14ac:dyDescent="0.2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x14ac:dyDescent="0.2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x14ac:dyDescent="0.2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x14ac:dyDescent="0.2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x14ac:dyDescent="0.2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x14ac:dyDescent="0.2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x14ac:dyDescent="0.2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x14ac:dyDescent="0.2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x14ac:dyDescent="0.2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x14ac:dyDescent="0.2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x14ac:dyDescent="0.2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x14ac:dyDescent="0.2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25">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25">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25">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25">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25">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25">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25">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25">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25">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25">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25">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25">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N110"/>
  <sheetViews>
    <sheetView workbookViewId="0">
      <selection activeCell="I1" sqref="I1:I1048576"/>
    </sheetView>
  </sheetViews>
  <sheetFormatPr defaultRowHeight="15" x14ac:dyDescent="0.25"/>
  <cols>
    <col min="1" max="1" width="8.5703125" style="28" customWidth="1"/>
    <col min="2" max="2" width="13.42578125" bestFit="1" customWidth="1"/>
    <col min="3" max="3" width="8.5703125" bestFit="1" customWidth="1"/>
    <col min="4" max="4" width="8.5703125" style="28" customWidth="1"/>
    <col min="5" max="5" width="13.28515625" bestFit="1" customWidth="1"/>
    <col min="6" max="6" width="13.42578125" bestFit="1" customWidth="1"/>
    <col min="7" max="7" width="60.7109375" bestFit="1" customWidth="1"/>
    <col min="8" max="8" width="60.7109375" style="28" customWidth="1"/>
    <col min="9" max="9" width="15.28515625" style="28" bestFit="1" customWidth="1"/>
    <col min="10" max="11" width="60.7109375" bestFit="1" customWidth="1"/>
    <col min="12" max="12" width="15.28515625" bestFit="1" customWidth="1"/>
  </cols>
  <sheetData>
    <row r="1" spans="1:14" x14ac:dyDescent="0.25">
      <c r="A1" s="28" t="s">
        <v>1317</v>
      </c>
      <c r="B1" t="s">
        <v>4</v>
      </c>
      <c r="C1" t="s">
        <v>2</v>
      </c>
      <c r="D1" s="28" t="s">
        <v>1317</v>
      </c>
      <c r="E1" t="s">
        <v>1</v>
      </c>
      <c r="F1" t="s">
        <v>4</v>
      </c>
      <c r="G1" t="s">
        <v>0</v>
      </c>
      <c r="H1" s="28" t="s">
        <v>0</v>
      </c>
      <c r="I1" s="28" t="s">
        <v>3</v>
      </c>
      <c r="J1" t="s">
        <v>0</v>
      </c>
      <c r="K1" t="s">
        <v>699</v>
      </c>
      <c r="L1" t="s">
        <v>3</v>
      </c>
      <c r="M1" t="s">
        <v>577</v>
      </c>
      <c r="N1" t="s">
        <v>578</v>
      </c>
    </row>
    <row r="2" spans="1:14" x14ac:dyDescent="0.2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x14ac:dyDescent="0.2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x14ac:dyDescent="0.2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x14ac:dyDescent="0.2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x14ac:dyDescent="0.2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x14ac:dyDescent="0.2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x14ac:dyDescent="0.2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x14ac:dyDescent="0.2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x14ac:dyDescent="0.2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x14ac:dyDescent="0.2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x14ac:dyDescent="0.2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x14ac:dyDescent="0.2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x14ac:dyDescent="0.2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x14ac:dyDescent="0.2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x14ac:dyDescent="0.2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x14ac:dyDescent="0.2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x14ac:dyDescent="0.2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x14ac:dyDescent="0.2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x14ac:dyDescent="0.2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x14ac:dyDescent="0.2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x14ac:dyDescent="0.2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x14ac:dyDescent="0.2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x14ac:dyDescent="0.2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x14ac:dyDescent="0.2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x14ac:dyDescent="0.2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25">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25">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25">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25">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25">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25">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25">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25">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25">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25">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25">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25">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25">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25">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25">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25">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25">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25">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25">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25">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25">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25">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25">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25">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25">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25">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25">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25">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25">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25">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25">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25">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25">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25">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25">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25">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25">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25">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25">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25">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25">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25">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25">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25">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25">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25">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25">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25">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25">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25">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25">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25">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25">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25">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25">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25">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25">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25">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25">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25">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25">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25">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25">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25">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25">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25">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25">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25">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25">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25">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25">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25">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25">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25">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25">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25">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25">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25">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25">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25">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25">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25">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25">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25">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109"/>
  <sheetViews>
    <sheetView topLeftCell="D1" workbookViewId="0">
      <selection activeCell="L19" sqref="L19"/>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0" x14ac:dyDescent="0.25">
      <c r="A1" t="s">
        <v>2</v>
      </c>
      <c r="B1" t="s">
        <v>1</v>
      </c>
      <c r="C1" t="s">
        <v>4</v>
      </c>
      <c r="D1" t="s">
        <v>0</v>
      </c>
      <c r="E1" t="s">
        <v>0</v>
      </c>
      <c r="F1" t="s">
        <v>699</v>
      </c>
      <c r="G1" t="s">
        <v>1147</v>
      </c>
      <c r="H1" t="s">
        <v>3</v>
      </c>
      <c r="I1" t="s">
        <v>577</v>
      </c>
      <c r="J1" t="s">
        <v>578</v>
      </c>
    </row>
    <row r="2" spans="1:10" x14ac:dyDescent="0.25">
      <c r="A2">
        <v>2015</v>
      </c>
      <c r="B2" t="s">
        <v>47</v>
      </c>
      <c r="C2" t="s">
        <v>245</v>
      </c>
      <c r="D2" t="s">
        <v>244</v>
      </c>
      <c r="E2" t="s">
        <v>645</v>
      </c>
      <c r="F2" t="s">
        <v>1151</v>
      </c>
      <c r="G2" t="s">
        <v>47</v>
      </c>
      <c r="H2">
        <v>65.28</v>
      </c>
      <c r="J2">
        <v>23827.200000000001</v>
      </c>
    </row>
    <row r="3" spans="1:10" x14ac:dyDescent="0.25">
      <c r="A3">
        <v>2015</v>
      </c>
      <c r="B3" t="s">
        <v>47</v>
      </c>
      <c r="C3" t="s">
        <v>136</v>
      </c>
      <c r="D3" t="s">
        <v>135</v>
      </c>
      <c r="E3" t="s">
        <v>646</v>
      </c>
      <c r="F3" t="s">
        <v>1152</v>
      </c>
      <c r="G3" t="s">
        <v>47</v>
      </c>
      <c r="H3">
        <v>82.93</v>
      </c>
      <c r="J3">
        <v>30269.45</v>
      </c>
    </row>
    <row r="4" spans="1:10" x14ac:dyDescent="0.25">
      <c r="A4">
        <v>2015</v>
      </c>
      <c r="B4" t="s">
        <v>47</v>
      </c>
      <c r="C4" t="s">
        <v>210</v>
      </c>
      <c r="D4" t="s">
        <v>209</v>
      </c>
      <c r="E4" t="s">
        <v>647</v>
      </c>
      <c r="F4" t="s">
        <v>1153</v>
      </c>
      <c r="G4" t="s">
        <v>47</v>
      </c>
      <c r="H4">
        <v>99.99</v>
      </c>
      <c r="J4">
        <v>36496.35</v>
      </c>
    </row>
    <row r="5" spans="1:10" x14ac:dyDescent="0.25">
      <c r="A5">
        <v>2015</v>
      </c>
      <c r="B5" t="s">
        <v>47</v>
      </c>
      <c r="C5" t="s">
        <v>291</v>
      </c>
      <c r="D5" t="s">
        <v>290</v>
      </c>
      <c r="E5" t="s">
        <v>648</v>
      </c>
      <c r="F5" t="s">
        <v>1154</v>
      </c>
      <c r="G5" t="s">
        <v>47</v>
      </c>
      <c r="H5">
        <v>119.61</v>
      </c>
      <c r="J5">
        <v>43657.65</v>
      </c>
    </row>
    <row r="6" spans="1:10" x14ac:dyDescent="0.25">
      <c r="A6">
        <v>2015</v>
      </c>
      <c r="B6" t="s">
        <v>47</v>
      </c>
      <c r="C6" t="s">
        <v>54</v>
      </c>
      <c r="D6" t="s">
        <v>53</v>
      </c>
      <c r="E6" t="s">
        <v>649</v>
      </c>
      <c r="F6" t="s">
        <v>1155</v>
      </c>
      <c r="G6" t="s">
        <v>47</v>
      </c>
      <c r="H6">
        <v>113.98</v>
      </c>
      <c r="J6">
        <v>41602.700000000004</v>
      </c>
    </row>
    <row r="7" spans="1:10" x14ac:dyDescent="0.25">
      <c r="A7">
        <v>2015</v>
      </c>
      <c r="B7" t="s">
        <v>47</v>
      </c>
      <c r="C7" t="s">
        <v>167</v>
      </c>
      <c r="D7" t="s">
        <v>166</v>
      </c>
      <c r="E7" t="s">
        <v>650</v>
      </c>
      <c r="F7" t="s">
        <v>1156</v>
      </c>
      <c r="G7" t="s">
        <v>47</v>
      </c>
      <c r="H7">
        <v>133.61000000000001</v>
      </c>
      <c r="J7">
        <v>48767.65</v>
      </c>
    </row>
    <row r="8" spans="1:10" x14ac:dyDescent="0.25">
      <c r="A8">
        <v>2015</v>
      </c>
      <c r="B8" t="s">
        <v>47</v>
      </c>
      <c r="C8" t="s">
        <v>107</v>
      </c>
      <c r="D8" t="s">
        <v>106</v>
      </c>
      <c r="E8" t="s">
        <v>651</v>
      </c>
      <c r="F8" t="s">
        <v>1157</v>
      </c>
      <c r="G8" t="s">
        <v>47</v>
      </c>
      <c r="H8">
        <v>157.28</v>
      </c>
      <c r="J8">
        <v>57407.199999999997</v>
      </c>
    </row>
    <row r="9" spans="1:10" x14ac:dyDescent="0.25">
      <c r="A9">
        <v>2015</v>
      </c>
      <c r="B9" t="s">
        <v>47</v>
      </c>
      <c r="C9" t="s">
        <v>378</v>
      </c>
      <c r="D9" t="s">
        <v>377</v>
      </c>
      <c r="E9" t="s">
        <v>652</v>
      </c>
      <c r="F9" t="s">
        <v>1158</v>
      </c>
      <c r="G9" t="s">
        <v>47</v>
      </c>
      <c r="H9">
        <v>178.43</v>
      </c>
      <c r="J9">
        <v>65126.950000000004</v>
      </c>
    </row>
    <row r="10" spans="1:10" x14ac:dyDescent="0.25">
      <c r="A10">
        <v>2015</v>
      </c>
      <c r="B10" t="s">
        <v>47</v>
      </c>
      <c r="C10" t="s">
        <v>263</v>
      </c>
      <c r="D10" t="s">
        <v>262</v>
      </c>
      <c r="E10" t="s">
        <v>653</v>
      </c>
      <c r="F10" t="s">
        <v>1159</v>
      </c>
      <c r="G10" t="s">
        <v>47</v>
      </c>
      <c r="H10">
        <v>157.26</v>
      </c>
      <c r="J10">
        <v>57399.899999999994</v>
      </c>
    </row>
    <row r="11" spans="1:10" x14ac:dyDescent="0.25">
      <c r="A11">
        <v>2015</v>
      </c>
      <c r="B11" t="s">
        <v>47</v>
      </c>
      <c r="C11" t="s">
        <v>340</v>
      </c>
      <c r="D11" t="s">
        <v>339</v>
      </c>
      <c r="E11" t="s">
        <v>654</v>
      </c>
      <c r="F11" t="s">
        <v>1160</v>
      </c>
      <c r="G11" t="s">
        <v>47</v>
      </c>
      <c r="H11">
        <v>178.4</v>
      </c>
      <c r="J11">
        <v>65116</v>
      </c>
    </row>
    <row r="12" spans="1:10" x14ac:dyDescent="0.25">
      <c r="A12">
        <v>2015</v>
      </c>
      <c r="B12" t="s">
        <v>47</v>
      </c>
      <c r="C12" t="s">
        <v>386</v>
      </c>
      <c r="D12" t="s">
        <v>385</v>
      </c>
      <c r="E12" t="s">
        <v>655</v>
      </c>
      <c r="F12" t="s">
        <v>710</v>
      </c>
      <c r="G12" t="s">
        <v>47</v>
      </c>
      <c r="H12">
        <v>184.63</v>
      </c>
      <c r="J12">
        <v>67389.95</v>
      </c>
    </row>
    <row r="13" spans="1:10" x14ac:dyDescent="0.25">
      <c r="A13">
        <v>2015</v>
      </c>
      <c r="B13" t="s">
        <v>47</v>
      </c>
      <c r="C13" t="s">
        <v>268</v>
      </c>
      <c r="D13" t="s">
        <v>267</v>
      </c>
      <c r="E13" t="s">
        <v>656</v>
      </c>
      <c r="F13" t="s">
        <v>711</v>
      </c>
      <c r="G13" t="s">
        <v>47</v>
      </c>
      <c r="H13">
        <v>213.26</v>
      </c>
      <c r="J13">
        <v>77839.899999999994</v>
      </c>
    </row>
    <row r="14" spans="1:10" x14ac:dyDescent="0.25">
      <c r="A14">
        <v>2015</v>
      </c>
      <c r="B14" t="s">
        <v>47</v>
      </c>
      <c r="C14" t="s">
        <v>306</v>
      </c>
      <c r="D14" t="s">
        <v>305</v>
      </c>
      <c r="E14" t="s">
        <v>657</v>
      </c>
      <c r="F14" t="s">
        <v>714</v>
      </c>
      <c r="G14" t="s">
        <v>47</v>
      </c>
      <c r="H14">
        <v>214.51</v>
      </c>
      <c r="J14">
        <v>78296.149999999994</v>
      </c>
    </row>
    <row r="15" spans="1:10" x14ac:dyDescent="0.25">
      <c r="A15">
        <v>2015</v>
      </c>
      <c r="B15" t="s">
        <v>47</v>
      </c>
      <c r="C15" t="s">
        <v>197</v>
      </c>
      <c r="D15" t="s">
        <v>196</v>
      </c>
      <c r="E15" t="s">
        <v>658</v>
      </c>
      <c r="F15" t="s">
        <v>715</v>
      </c>
      <c r="G15" t="s">
        <v>47</v>
      </c>
      <c r="H15">
        <v>243.15</v>
      </c>
      <c r="J15">
        <v>88749.75</v>
      </c>
    </row>
    <row r="16" spans="1:10" x14ac:dyDescent="0.25">
      <c r="A16">
        <v>2015</v>
      </c>
      <c r="B16" t="s">
        <v>47</v>
      </c>
      <c r="C16" t="s">
        <v>574</v>
      </c>
      <c r="D16" t="s">
        <v>573</v>
      </c>
      <c r="E16" t="s">
        <v>659</v>
      </c>
      <c r="F16" t="s">
        <v>718</v>
      </c>
      <c r="G16" t="s">
        <v>47</v>
      </c>
      <c r="H16">
        <v>153.15</v>
      </c>
      <c r="J16">
        <v>55899.75</v>
      </c>
    </row>
    <row r="17" spans="1:10" x14ac:dyDescent="0.25">
      <c r="A17">
        <v>2015</v>
      </c>
      <c r="B17" t="s">
        <v>47</v>
      </c>
      <c r="C17" t="s">
        <v>576</v>
      </c>
      <c r="D17" t="s">
        <v>575</v>
      </c>
      <c r="E17" t="s">
        <v>660</v>
      </c>
      <c r="F17" t="s">
        <v>719</v>
      </c>
      <c r="G17" t="s">
        <v>47</v>
      </c>
      <c r="H17">
        <v>211.8</v>
      </c>
      <c r="J17">
        <v>77307</v>
      </c>
    </row>
    <row r="18" spans="1:10" x14ac:dyDescent="0.25">
      <c r="A18">
        <v>2015</v>
      </c>
      <c r="B18" t="s">
        <v>47</v>
      </c>
      <c r="C18" t="s">
        <v>93</v>
      </c>
      <c r="D18" t="s">
        <v>92</v>
      </c>
      <c r="E18" t="s">
        <v>661</v>
      </c>
      <c r="F18" t="s">
        <v>722</v>
      </c>
      <c r="G18" t="s">
        <v>47</v>
      </c>
      <c r="H18">
        <v>234.3</v>
      </c>
      <c r="J18">
        <v>85519.5</v>
      </c>
    </row>
    <row r="19" spans="1:10" x14ac:dyDescent="0.25">
      <c r="A19">
        <v>2015</v>
      </c>
      <c r="B19" t="s">
        <v>47</v>
      </c>
      <c r="C19" t="s">
        <v>188</v>
      </c>
      <c r="D19" t="s">
        <v>187</v>
      </c>
      <c r="E19" t="s">
        <v>662</v>
      </c>
      <c r="F19" t="s">
        <v>723</v>
      </c>
      <c r="G19" t="s">
        <v>47</v>
      </c>
      <c r="H19">
        <v>262.95</v>
      </c>
      <c r="J19">
        <v>95976.75</v>
      </c>
    </row>
    <row r="20" spans="1:10" x14ac:dyDescent="0.25">
      <c r="A20">
        <v>2015</v>
      </c>
      <c r="B20" t="s">
        <v>47</v>
      </c>
      <c r="C20" t="s">
        <v>158</v>
      </c>
      <c r="D20" t="s">
        <v>157</v>
      </c>
      <c r="E20" t="s">
        <v>663</v>
      </c>
      <c r="F20" t="s">
        <v>738</v>
      </c>
      <c r="G20" t="s">
        <v>47</v>
      </c>
      <c r="H20">
        <v>64.38</v>
      </c>
      <c r="J20">
        <v>23498.699999999997</v>
      </c>
    </row>
    <row r="21" spans="1:10" x14ac:dyDescent="0.25">
      <c r="A21">
        <v>2015</v>
      </c>
      <c r="B21" t="s">
        <v>47</v>
      </c>
      <c r="C21" t="s">
        <v>79</v>
      </c>
      <c r="D21" t="s">
        <v>78</v>
      </c>
      <c r="E21" t="s">
        <v>664</v>
      </c>
      <c r="F21" t="s">
        <v>739</v>
      </c>
      <c r="G21" t="s">
        <v>47</v>
      </c>
      <c r="H21">
        <v>100.33</v>
      </c>
      <c r="J21">
        <v>36620.449999999997</v>
      </c>
    </row>
    <row r="22" spans="1:10" x14ac:dyDescent="0.25">
      <c r="A22">
        <v>2015</v>
      </c>
      <c r="B22" t="s">
        <v>47</v>
      </c>
      <c r="C22" t="s">
        <v>252</v>
      </c>
      <c r="D22" t="s">
        <v>251</v>
      </c>
      <c r="E22" t="s">
        <v>665</v>
      </c>
      <c r="F22" t="s">
        <v>742</v>
      </c>
      <c r="G22" t="s">
        <v>47</v>
      </c>
      <c r="H22">
        <v>80.69</v>
      </c>
      <c r="J22">
        <v>29451.85</v>
      </c>
    </row>
    <row r="23" spans="1:10" x14ac:dyDescent="0.25">
      <c r="A23">
        <v>2015</v>
      </c>
      <c r="B23" t="s">
        <v>47</v>
      </c>
      <c r="C23" t="s">
        <v>177</v>
      </c>
      <c r="D23" t="s">
        <v>176</v>
      </c>
      <c r="E23" t="s">
        <v>666</v>
      </c>
      <c r="F23" t="s">
        <v>743</v>
      </c>
      <c r="G23" t="s">
        <v>47</v>
      </c>
      <c r="H23">
        <v>116.63</v>
      </c>
      <c r="J23">
        <v>42569.95</v>
      </c>
    </row>
    <row r="24" spans="1:10" x14ac:dyDescent="0.25">
      <c r="A24">
        <v>2015</v>
      </c>
      <c r="B24" t="s">
        <v>47</v>
      </c>
      <c r="C24" t="s">
        <v>220</v>
      </c>
      <c r="D24" t="s">
        <v>219</v>
      </c>
      <c r="E24" t="s">
        <v>667</v>
      </c>
      <c r="F24" t="s">
        <v>760</v>
      </c>
      <c r="G24" t="s">
        <v>47</v>
      </c>
      <c r="H24">
        <v>94.49</v>
      </c>
      <c r="J24">
        <v>34488.85</v>
      </c>
    </row>
    <row r="25" spans="1:10" x14ac:dyDescent="0.25">
      <c r="A25">
        <v>2015</v>
      </c>
      <c r="B25" t="s">
        <v>47</v>
      </c>
      <c r="C25" t="s">
        <v>266</v>
      </c>
      <c r="D25" t="s">
        <v>265</v>
      </c>
      <c r="E25" t="s">
        <v>668</v>
      </c>
      <c r="F25" t="s">
        <v>761</v>
      </c>
      <c r="G25" t="s">
        <v>47</v>
      </c>
      <c r="H25">
        <v>130.44999999999999</v>
      </c>
      <c r="J25">
        <v>47614.249999999993</v>
      </c>
    </row>
    <row r="26" spans="1:10" x14ac:dyDescent="0.25">
      <c r="A26">
        <v>2015</v>
      </c>
      <c r="B26" t="s">
        <v>47</v>
      </c>
      <c r="C26" t="s">
        <v>235</v>
      </c>
      <c r="D26" t="s">
        <v>234</v>
      </c>
      <c r="E26" t="s">
        <v>669</v>
      </c>
      <c r="F26" t="s">
        <v>762</v>
      </c>
      <c r="G26" t="s">
        <v>47</v>
      </c>
      <c r="H26">
        <v>103.39</v>
      </c>
      <c r="J26">
        <v>37737.35</v>
      </c>
    </row>
    <row r="27" spans="1:10" x14ac:dyDescent="0.25">
      <c r="A27">
        <v>2015</v>
      </c>
      <c r="B27" t="s">
        <v>47</v>
      </c>
      <c r="C27" t="s">
        <v>300</v>
      </c>
      <c r="D27" t="s">
        <v>299</v>
      </c>
      <c r="E27" t="s">
        <v>670</v>
      </c>
      <c r="F27" t="s">
        <v>763</v>
      </c>
      <c r="G27" t="s">
        <v>47</v>
      </c>
      <c r="H27">
        <v>139.35</v>
      </c>
      <c r="J27">
        <v>50862.75</v>
      </c>
    </row>
    <row r="28" spans="1:10" x14ac:dyDescent="0.25">
      <c r="A28">
        <v>2015</v>
      </c>
      <c r="B28" t="s">
        <v>47</v>
      </c>
      <c r="C28" t="s">
        <v>275</v>
      </c>
      <c r="D28" t="s">
        <v>274</v>
      </c>
      <c r="E28" t="s">
        <v>671</v>
      </c>
      <c r="F28" t="s">
        <v>769</v>
      </c>
      <c r="G28" t="s">
        <v>47</v>
      </c>
      <c r="H28">
        <v>107.2</v>
      </c>
      <c r="J28">
        <v>39128</v>
      </c>
    </row>
    <row r="29" spans="1:10" x14ac:dyDescent="0.25">
      <c r="A29">
        <v>2015</v>
      </c>
      <c r="B29" t="s">
        <v>47</v>
      </c>
      <c r="C29" t="s">
        <v>231</v>
      </c>
      <c r="D29" t="s">
        <v>230</v>
      </c>
      <c r="E29" t="s">
        <v>672</v>
      </c>
      <c r="F29" t="s">
        <v>770</v>
      </c>
      <c r="G29" t="s">
        <v>47</v>
      </c>
      <c r="H29">
        <v>143.13</v>
      </c>
      <c r="J29">
        <v>52242.45</v>
      </c>
    </row>
    <row r="30" spans="1:10" x14ac:dyDescent="0.25">
      <c r="A30">
        <v>2015</v>
      </c>
      <c r="B30" t="s">
        <v>47</v>
      </c>
      <c r="C30" t="s">
        <v>318</v>
      </c>
      <c r="D30" t="s">
        <v>317</v>
      </c>
      <c r="E30" t="s">
        <v>673</v>
      </c>
      <c r="F30" t="s">
        <v>771</v>
      </c>
      <c r="G30" t="s">
        <v>47</v>
      </c>
      <c r="H30">
        <v>117.7</v>
      </c>
      <c r="J30">
        <v>42960.5</v>
      </c>
    </row>
    <row r="31" spans="1:10" x14ac:dyDescent="0.25">
      <c r="A31">
        <v>2015</v>
      </c>
      <c r="B31" t="s">
        <v>47</v>
      </c>
      <c r="C31" t="s">
        <v>105</v>
      </c>
      <c r="D31" t="s">
        <v>104</v>
      </c>
      <c r="E31" t="s">
        <v>674</v>
      </c>
      <c r="F31" t="s">
        <v>772</v>
      </c>
      <c r="G31" t="s">
        <v>47</v>
      </c>
      <c r="H31">
        <v>153.65</v>
      </c>
      <c r="J31">
        <v>56082.25</v>
      </c>
    </row>
    <row r="32" spans="1:10" x14ac:dyDescent="0.25">
      <c r="A32">
        <v>2015</v>
      </c>
      <c r="B32" t="s">
        <v>47</v>
      </c>
      <c r="C32" t="s">
        <v>288</v>
      </c>
      <c r="D32" t="s">
        <v>287</v>
      </c>
      <c r="E32" t="s">
        <v>675</v>
      </c>
      <c r="F32" t="s">
        <v>777</v>
      </c>
      <c r="G32" t="s">
        <v>47</v>
      </c>
      <c r="H32">
        <v>129.13999999999999</v>
      </c>
      <c r="J32">
        <v>47136.1</v>
      </c>
    </row>
    <row r="33" spans="1:10" x14ac:dyDescent="0.25">
      <c r="A33">
        <v>2015</v>
      </c>
      <c r="B33" t="s">
        <v>47</v>
      </c>
      <c r="C33" t="s">
        <v>366</v>
      </c>
      <c r="D33" t="s">
        <v>365</v>
      </c>
      <c r="E33" t="s">
        <v>676</v>
      </c>
      <c r="F33" t="s">
        <v>778</v>
      </c>
      <c r="G33" t="s">
        <v>47</v>
      </c>
      <c r="H33">
        <v>178.29</v>
      </c>
      <c r="J33">
        <v>65075.85</v>
      </c>
    </row>
    <row r="34" spans="1:10" x14ac:dyDescent="0.25">
      <c r="A34">
        <v>2015</v>
      </c>
      <c r="B34" t="s">
        <v>47</v>
      </c>
      <c r="C34" t="s">
        <v>202</v>
      </c>
      <c r="D34" t="s">
        <v>201</v>
      </c>
      <c r="E34" t="s">
        <v>677</v>
      </c>
      <c r="F34" t="s">
        <v>779</v>
      </c>
      <c r="G34" t="s">
        <v>47</v>
      </c>
      <c r="H34">
        <v>144.35</v>
      </c>
      <c r="J34">
        <v>52687.75</v>
      </c>
    </row>
    <row r="35" spans="1:10" x14ac:dyDescent="0.25">
      <c r="A35">
        <v>2015</v>
      </c>
      <c r="B35" t="s">
        <v>47</v>
      </c>
      <c r="C35" t="s">
        <v>350</v>
      </c>
      <c r="D35" t="s">
        <v>349</v>
      </c>
      <c r="E35" t="s">
        <v>678</v>
      </c>
      <c r="F35" t="s">
        <v>780</v>
      </c>
      <c r="G35" t="s">
        <v>47</v>
      </c>
      <c r="H35">
        <v>193.54</v>
      </c>
      <c r="J35">
        <v>70642.099999999991</v>
      </c>
    </row>
    <row r="36" spans="1:10" x14ac:dyDescent="0.25">
      <c r="A36">
        <v>2015</v>
      </c>
      <c r="B36" t="s">
        <v>47</v>
      </c>
      <c r="C36" t="s">
        <v>310</v>
      </c>
      <c r="D36" t="s">
        <v>309</v>
      </c>
      <c r="E36" t="s">
        <v>679</v>
      </c>
      <c r="F36" t="s">
        <v>786</v>
      </c>
      <c r="G36" t="s">
        <v>47</v>
      </c>
      <c r="H36">
        <v>122.45</v>
      </c>
      <c r="J36">
        <v>44694.25</v>
      </c>
    </row>
    <row r="37" spans="1:10" x14ac:dyDescent="0.25">
      <c r="A37">
        <v>2015</v>
      </c>
      <c r="B37" t="s">
        <v>47</v>
      </c>
      <c r="C37" t="s">
        <v>102</v>
      </c>
      <c r="D37" t="s">
        <v>101</v>
      </c>
      <c r="E37" t="s">
        <v>680</v>
      </c>
      <c r="F37" t="s">
        <v>787</v>
      </c>
      <c r="G37" t="s">
        <v>47</v>
      </c>
      <c r="H37">
        <v>171.62</v>
      </c>
      <c r="J37">
        <v>62641.3</v>
      </c>
    </row>
    <row r="38" spans="1:10" x14ac:dyDescent="0.25">
      <c r="A38">
        <v>2015</v>
      </c>
      <c r="B38" t="s">
        <v>47</v>
      </c>
      <c r="C38" t="s">
        <v>64</v>
      </c>
      <c r="D38" t="s">
        <v>63</v>
      </c>
      <c r="E38" t="s">
        <v>681</v>
      </c>
      <c r="F38" t="s">
        <v>788</v>
      </c>
      <c r="G38" t="s">
        <v>47</v>
      </c>
      <c r="H38">
        <v>138.53</v>
      </c>
      <c r="J38">
        <v>50563.45</v>
      </c>
    </row>
    <row r="39" spans="1:10" x14ac:dyDescent="0.25">
      <c r="A39">
        <v>2015</v>
      </c>
      <c r="B39" t="s">
        <v>47</v>
      </c>
      <c r="C39" t="s">
        <v>223</v>
      </c>
      <c r="D39" t="s">
        <v>222</v>
      </c>
      <c r="E39" t="s">
        <v>682</v>
      </c>
      <c r="F39" t="s">
        <v>789</v>
      </c>
      <c r="G39" t="s">
        <v>47</v>
      </c>
      <c r="H39">
        <v>187.71</v>
      </c>
      <c r="J39">
        <v>68514.150000000009</v>
      </c>
    </row>
    <row r="40" spans="1:10" x14ac:dyDescent="0.25">
      <c r="A40">
        <v>2015</v>
      </c>
      <c r="B40" t="s">
        <v>47</v>
      </c>
      <c r="C40" t="s">
        <v>147</v>
      </c>
      <c r="D40" t="s">
        <v>146</v>
      </c>
      <c r="E40" t="s">
        <v>683</v>
      </c>
      <c r="F40" t="s">
        <v>795</v>
      </c>
      <c r="G40" t="s">
        <v>47</v>
      </c>
      <c r="H40">
        <v>158.63999999999999</v>
      </c>
      <c r="J40">
        <v>57903.6</v>
      </c>
    </row>
    <row r="41" spans="1:10" x14ac:dyDescent="0.25">
      <c r="A41">
        <v>2015</v>
      </c>
      <c r="B41" t="s">
        <v>47</v>
      </c>
      <c r="C41" t="s">
        <v>142</v>
      </c>
      <c r="D41" t="s">
        <v>141</v>
      </c>
      <c r="E41" t="s">
        <v>684</v>
      </c>
      <c r="F41" t="s">
        <v>796</v>
      </c>
      <c r="G41" t="s">
        <v>47</v>
      </c>
      <c r="H41">
        <v>241.79</v>
      </c>
      <c r="J41">
        <v>88253.349999999991</v>
      </c>
    </row>
    <row r="42" spans="1:10" x14ac:dyDescent="0.25">
      <c r="A42">
        <v>2015</v>
      </c>
      <c r="B42" t="s">
        <v>47</v>
      </c>
      <c r="C42" t="s">
        <v>329</v>
      </c>
      <c r="D42" t="s">
        <v>328</v>
      </c>
      <c r="E42" t="s">
        <v>685</v>
      </c>
      <c r="F42" t="s">
        <v>797</v>
      </c>
      <c r="G42" t="s">
        <v>47</v>
      </c>
      <c r="H42">
        <v>179.58</v>
      </c>
      <c r="J42">
        <v>65546.700000000012</v>
      </c>
    </row>
    <row r="43" spans="1:10" x14ac:dyDescent="0.25">
      <c r="A43">
        <v>2015</v>
      </c>
      <c r="B43" t="s">
        <v>47</v>
      </c>
      <c r="C43" t="s">
        <v>183</v>
      </c>
      <c r="D43" t="s">
        <v>182</v>
      </c>
      <c r="E43" t="s">
        <v>686</v>
      </c>
      <c r="F43" t="s">
        <v>798</v>
      </c>
      <c r="G43" t="s">
        <v>47</v>
      </c>
      <c r="H43">
        <v>262.73</v>
      </c>
      <c r="J43">
        <v>95896.450000000012</v>
      </c>
    </row>
    <row r="44" spans="1:10" x14ac:dyDescent="0.25">
      <c r="A44">
        <v>2015</v>
      </c>
      <c r="B44" t="s">
        <v>47</v>
      </c>
      <c r="C44" t="s">
        <v>373</v>
      </c>
      <c r="D44" t="s">
        <v>372</v>
      </c>
      <c r="E44" t="s">
        <v>687</v>
      </c>
      <c r="F44" t="s">
        <v>804</v>
      </c>
      <c r="G44" t="s">
        <v>47</v>
      </c>
      <c r="H44">
        <v>154.12</v>
      </c>
      <c r="J44">
        <v>56253.8</v>
      </c>
    </row>
    <row r="45" spans="1:10" x14ac:dyDescent="0.25">
      <c r="A45">
        <v>2015</v>
      </c>
      <c r="B45" t="s">
        <v>47</v>
      </c>
      <c r="C45" t="s">
        <v>250</v>
      </c>
      <c r="D45" t="s">
        <v>249</v>
      </c>
      <c r="E45" t="s">
        <v>688</v>
      </c>
      <c r="F45" t="s">
        <v>805</v>
      </c>
      <c r="G45" t="s">
        <v>47</v>
      </c>
      <c r="H45">
        <v>203.3</v>
      </c>
      <c r="J45">
        <v>74204.5</v>
      </c>
    </row>
    <row r="46" spans="1:10" x14ac:dyDescent="0.25">
      <c r="A46">
        <v>2015</v>
      </c>
      <c r="B46" t="s">
        <v>47</v>
      </c>
      <c r="C46" t="s">
        <v>282</v>
      </c>
      <c r="D46" t="s">
        <v>281</v>
      </c>
      <c r="E46" t="s">
        <v>689</v>
      </c>
      <c r="F46" t="s">
        <v>806</v>
      </c>
      <c r="G46" t="s">
        <v>47</v>
      </c>
      <c r="H46">
        <v>169.36</v>
      </c>
      <c r="J46">
        <v>61816.4</v>
      </c>
    </row>
    <row r="47" spans="1:10" x14ac:dyDescent="0.25">
      <c r="A47">
        <v>2015</v>
      </c>
      <c r="B47" t="s">
        <v>47</v>
      </c>
      <c r="C47" t="s">
        <v>352</v>
      </c>
      <c r="D47" t="s">
        <v>351</v>
      </c>
      <c r="E47" t="s">
        <v>690</v>
      </c>
      <c r="F47" t="s">
        <v>807</v>
      </c>
      <c r="G47" t="s">
        <v>47</v>
      </c>
      <c r="H47">
        <v>218.54</v>
      </c>
      <c r="J47">
        <v>79767.099999999991</v>
      </c>
    </row>
    <row r="48" spans="1:10" x14ac:dyDescent="0.25">
      <c r="A48">
        <v>2015</v>
      </c>
      <c r="B48" t="s">
        <v>47</v>
      </c>
      <c r="C48" t="s">
        <v>126</v>
      </c>
      <c r="D48" t="s">
        <v>125</v>
      </c>
      <c r="E48" t="s">
        <v>691</v>
      </c>
      <c r="F48" t="s">
        <v>745</v>
      </c>
      <c r="G48" t="s">
        <v>47</v>
      </c>
      <c r="H48">
        <v>129.03</v>
      </c>
      <c r="J48">
        <v>47095.95</v>
      </c>
    </row>
    <row r="49" spans="1:10" x14ac:dyDescent="0.25">
      <c r="A49">
        <v>2015</v>
      </c>
      <c r="B49" t="s">
        <v>47</v>
      </c>
      <c r="C49" t="s">
        <v>257</v>
      </c>
      <c r="D49" t="s">
        <v>256</v>
      </c>
      <c r="E49" t="s">
        <v>692</v>
      </c>
      <c r="F49" t="s">
        <v>748</v>
      </c>
      <c r="G49" t="s">
        <v>47</v>
      </c>
      <c r="H49">
        <v>167.75</v>
      </c>
      <c r="J49">
        <v>61228.75</v>
      </c>
    </row>
    <row r="50" spans="1:10" x14ac:dyDescent="0.25">
      <c r="A50">
        <v>2015</v>
      </c>
      <c r="B50" t="s">
        <v>47</v>
      </c>
      <c r="C50" t="s">
        <v>272</v>
      </c>
      <c r="D50" t="s">
        <v>271</v>
      </c>
      <c r="E50" t="s">
        <v>693</v>
      </c>
      <c r="F50" t="s">
        <v>750</v>
      </c>
      <c r="G50" t="s">
        <v>47</v>
      </c>
      <c r="H50">
        <v>208.01</v>
      </c>
      <c r="J50">
        <v>75923.649999999994</v>
      </c>
    </row>
    <row r="51" spans="1:10" x14ac:dyDescent="0.25">
      <c r="A51">
        <v>2015</v>
      </c>
      <c r="B51" t="s">
        <v>47</v>
      </c>
      <c r="C51" t="s">
        <v>241</v>
      </c>
      <c r="D51" t="s">
        <v>240</v>
      </c>
      <c r="E51" t="s">
        <v>694</v>
      </c>
      <c r="F51" t="s">
        <v>752</v>
      </c>
      <c r="G51" t="s">
        <v>47</v>
      </c>
      <c r="H51">
        <v>246.46</v>
      </c>
      <c r="J51">
        <v>89957.900000000009</v>
      </c>
    </row>
    <row r="52" spans="1:10" x14ac:dyDescent="0.25">
      <c r="A52">
        <v>2015</v>
      </c>
      <c r="B52" t="s">
        <v>47</v>
      </c>
      <c r="C52" t="s">
        <v>206</v>
      </c>
      <c r="D52" t="s">
        <v>205</v>
      </c>
      <c r="E52" t="s">
        <v>695</v>
      </c>
      <c r="F52" t="s">
        <v>754</v>
      </c>
      <c r="G52" t="s">
        <v>47</v>
      </c>
      <c r="H52">
        <v>245.29</v>
      </c>
      <c r="J52">
        <v>89530.849999999991</v>
      </c>
    </row>
    <row r="53" spans="1:10" x14ac:dyDescent="0.25">
      <c r="A53">
        <v>2015</v>
      </c>
      <c r="B53" t="s">
        <v>47</v>
      </c>
      <c r="C53" t="s">
        <v>566</v>
      </c>
      <c r="D53" t="s">
        <v>565</v>
      </c>
      <c r="E53" t="s">
        <v>696</v>
      </c>
      <c r="F53" t="s">
        <v>746</v>
      </c>
      <c r="G53" t="s">
        <v>47</v>
      </c>
      <c r="H53">
        <v>320.95999999999998</v>
      </c>
      <c r="J53">
        <v>117150.39999999999</v>
      </c>
    </row>
    <row r="54" spans="1:10" x14ac:dyDescent="0.25">
      <c r="A54">
        <v>2015</v>
      </c>
      <c r="B54" t="s">
        <v>47</v>
      </c>
      <c r="C54" t="s">
        <v>217</v>
      </c>
      <c r="D54" t="s">
        <v>814</v>
      </c>
      <c r="E54" t="s">
        <v>815</v>
      </c>
      <c r="F54" t="s">
        <v>816</v>
      </c>
      <c r="G54" t="s">
        <v>47</v>
      </c>
      <c r="H54">
        <v>86.31</v>
      </c>
      <c r="J54">
        <v>31503.15</v>
      </c>
    </row>
    <row r="55" spans="1:10" x14ac:dyDescent="0.25">
      <c r="A55">
        <v>2015</v>
      </c>
      <c r="B55" t="s">
        <v>47</v>
      </c>
      <c r="C55" t="s">
        <v>112</v>
      </c>
      <c r="D55" t="s">
        <v>817</v>
      </c>
      <c r="E55" t="s">
        <v>818</v>
      </c>
      <c r="F55" t="s">
        <v>819</v>
      </c>
      <c r="G55" t="s">
        <v>47</v>
      </c>
      <c r="H55">
        <v>130.66</v>
      </c>
      <c r="J55">
        <v>47690.9</v>
      </c>
    </row>
    <row r="56" spans="1:10" x14ac:dyDescent="0.25">
      <c r="A56">
        <v>2015</v>
      </c>
      <c r="B56" t="s">
        <v>47</v>
      </c>
      <c r="C56" t="s">
        <v>123</v>
      </c>
      <c r="D56" t="s">
        <v>826</v>
      </c>
      <c r="E56" t="s">
        <v>827</v>
      </c>
      <c r="F56" t="s">
        <v>828</v>
      </c>
      <c r="G56" t="s">
        <v>47</v>
      </c>
      <c r="H56">
        <v>114.28</v>
      </c>
      <c r="J56">
        <v>41712.199999999997</v>
      </c>
    </row>
    <row r="57" spans="1:10" x14ac:dyDescent="0.25">
      <c r="A57">
        <v>2015</v>
      </c>
      <c r="B57" t="s">
        <v>47</v>
      </c>
      <c r="C57" t="s">
        <v>278</v>
      </c>
      <c r="D57" t="s">
        <v>829</v>
      </c>
      <c r="E57" t="s">
        <v>830</v>
      </c>
      <c r="F57" t="s">
        <v>831</v>
      </c>
      <c r="G57" t="s">
        <v>47</v>
      </c>
      <c r="H57">
        <v>154.66</v>
      </c>
      <c r="J57">
        <v>56450.9</v>
      </c>
    </row>
    <row r="58" spans="1:10" x14ac:dyDescent="0.25">
      <c r="A58">
        <v>2015</v>
      </c>
      <c r="B58" t="s">
        <v>47</v>
      </c>
      <c r="C58" t="s">
        <v>255</v>
      </c>
      <c r="D58" t="s">
        <v>844</v>
      </c>
      <c r="E58" t="s">
        <v>845</v>
      </c>
      <c r="F58" t="s">
        <v>846</v>
      </c>
      <c r="G58" t="s">
        <v>47</v>
      </c>
      <c r="H58">
        <v>100.3</v>
      </c>
      <c r="J58">
        <v>36609.5</v>
      </c>
    </row>
    <row r="59" spans="1:10" x14ac:dyDescent="0.25">
      <c r="A59">
        <v>2015</v>
      </c>
      <c r="B59" t="s">
        <v>47</v>
      </c>
      <c r="C59" t="s">
        <v>137</v>
      </c>
      <c r="D59" t="s">
        <v>847</v>
      </c>
      <c r="E59" t="s">
        <v>848</v>
      </c>
      <c r="F59" t="s">
        <v>849</v>
      </c>
      <c r="G59" t="s">
        <v>47</v>
      </c>
      <c r="H59">
        <v>144.66</v>
      </c>
      <c r="J59">
        <v>52800.9</v>
      </c>
    </row>
    <row r="60" spans="1:10" x14ac:dyDescent="0.25">
      <c r="A60">
        <v>2015</v>
      </c>
      <c r="B60" t="s">
        <v>47</v>
      </c>
      <c r="C60" t="s">
        <v>181</v>
      </c>
      <c r="D60" t="s">
        <v>850</v>
      </c>
      <c r="E60" t="s">
        <v>851</v>
      </c>
      <c r="F60" t="s">
        <v>852</v>
      </c>
      <c r="G60" t="s">
        <v>47</v>
      </c>
      <c r="H60">
        <v>123.62</v>
      </c>
      <c r="J60">
        <v>45121.3</v>
      </c>
    </row>
    <row r="61" spans="1:10" x14ac:dyDescent="0.25">
      <c r="A61">
        <v>2015</v>
      </c>
      <c r="B61" t="s">
        <v>47</v>
      </c>
      <c r="C61" t="s">
        <v>301</v>
      </c>
      <c r="D61" t="s">
        <v>853</v>
      </c>
      <c r="E61" t="s">
        <v>854</v>
      </c>
      <c r="F61" t="s">
        <v>855</v>
      </c>
      <c r="G61" t="s">
        <v>47</v>
      </c>
      <c r="H61">
        <v>167.97</v>
      </c>
      <c r="J61">
        <v>61309.05</v>
      </c>
    </row>
    <row r="62" spans="1:10" x14ac:dyDescent="0.25">
      <c r="A62">
        <v>2015</v>
      </c>
      <c r="B62" t="s">
        <v>47</v>
      </c>
      <c r="C62" t="s">
        <v>343</v>
      </c>
      <c r="D62" t="s">
        <v>868</v>
      </c>
      <c r="E62" t="s">
        <v>869</v>
      </c>
      <c r="F62" t="s">
        <v>870</v>
      </c>
      <c r="G62" t="s">
        <v>47</v>
      </c>
      <c r="H62">
        <v>116.06</v>
      </c>
      <c r="J62">
        <v>42361.9</v>
      </c>
    </row>
    <row r="63" spans="1:10" x14ac:dyDescent="0.25">
      <c r="A63">
        <v>2015</v>
      </c>
      <c r="B63" t="s">
        <v>47</v>
      </c>
      <c r="C63" t="s">
        <v>337</v>
      </c>
      <c r="D63" t="s">
        <v>871</v>
      </c>
      <c r="E63" t="s">
        <v>872</v>
      </c>
      <c r="F63" t="s">
        <v>873</v>
      </c>
      <c r="G63" t="s">
        <v>47</v>
      </c>
      <c r="H63">
        <v>156.43</v>
      </c>
      <c r="J63">
        <v>57096.950000000004</v>
      </c>
    </row>
    <row r="64" spans="1:10" x14ac:dyDescent="0.25">
      <c r="A64">
        <v>2015</v>
      </c>
      <c r="B64" t="s">
        <v>47</v>
      </c>
      <c r="C64" t="s">
        <v>233</v>
      </c>
      <c r="D64" t="s">
        <v>874</v>
      </c>
      <c r="E64" t="s">
        <v>875</v>
      </c>
      <c r="F64" t="s">
        <v>876</v>
      </c>
      <c r="G64" t="s">
        <v>47</v>
      </c>
      <c r="H64">
        <v>139.88999999999999</v>
      </c>
      <c r="J64">
        <v>51059.85</v>
      </c>
    </row>
    <row r="65" spans="1:10" x14ac:dyDescent="0.25">
      <c r="A65">
        <v>2015</v>
      </c>
      <c r="B65" t="s">
        <v>47</v>
      </c>
      <c r="C65" t="s">
        <v>273</v>
      </c>
      <c r="D65" t="s">
        <v>877</v>
      </c>
      <c r="E65" t="s">
        <v>878</v>
      </c>
      <c r="F65" t="s">
        <v>879</v>
      </c>
      <c r="G65" t="s">
        <v>47</v>
      </c>
      <c r="H65">
        <v>180.27</v>
      </c>
      <c r="J65">
        <v>65798.55</v>
      </c>
    </row>
    <row r="66" spans="1:10" x14ac:dyDescent="0.25">
      <c r="A66">
        <v>2015</v>
      </c>
      <c r="B66" t="s">
        <v>47</v>
      </c>
      <c r="C66" t="s">
        <v>143</v>
      </c>
      <c r="D66" t="s">
        <v>893</v>
      </c>
      <c r="E66" t="s">
        <v>894</v>
      </c>
      <c r="F66" t="s">
        <v>895</v>
      </c>
      <c r="G66" t="s">
        <v>47</v>
      </c>
      <c r="H66">
        <v>137.32</v>
      </c>
      <c r="J66">
        <v>50121.799999999996</v>
      </c>
    </row>
    <row r="67" spans="1:10" x14ac:dyDescent="0.25">
      <c r="A67">
        <v>2015</v>
      </c>
      <c r="B67" t="s">
        <v>47</v>
      </c>
      <c r="C67" t="s">
        <v>156</v>
      </c>
      <c r="D67" t="s">
        <v>896</v>
      </c>
      <c r="E67" t="s">
        <v>897</v>
      </c>
      <c r="F67" t="s">
        <v>898</v>
      </c>
      <c r="G67" t="s">
        <v>47</v>
      </c>
      <c r="H67">
        <v>181.68</v>
      </c>
      <c r="J67">
        <v>66313.2</v>
      </c>
    </row>
    <row r="68" spans="1:10" x14ac:dyDescent="0.25">
      <c r="A68">
        <v>2015</v>
      </c>
      <c r="B68" t="s">
        <v>47</v>
      </c>
      <c r="C68" t="s">
        <v>155</v>
      </c>
      <c r="D68" t="s">
        <v>899</v>
      </c>
      <c r="E68" t="s">
        <v>900</v>
      </c>
      <c r="F68" t="s">
        <v>901</v>
      </c>
      <c r="G68" t="s">
        <v>47</v>
      </c>
      <c r="H68">
        <v>165.77</v>
      </c>
      <c r="J68">
        <v>60506.05</v>
      </c>
    </row>
    <row r="69" spans="1:10" x14ac:dyDescent="0.25">
      <c r="A69">
        <v>2015</v>
      </c>
      <c r="B69" t="s">
        <v>47</v>
      </c>
      <c r="C69" t="s">
        <v>165</v>
      </c>
      <c r="D69" t="s">
        <v>902</v>
      </c>
      <c r="E69" t="s">
        <v>903</v>
      </c>
      <c r="F69" t="s">
        <v>904</v>
      </c>
      <c r="G69" t="s">
        <v>47</v>
      </c>
      <c r="H69">
        <v>210.12</v>
      </c>
      <c r="J69">
        <v>76693.8</v>
      </c>
    </row>
    <row r="70" spans="1:10" x14ac:dyDescent="0.25">
      <c r="A70">
        <v>2015</v>
      </c>
      <c r="B70" t="s">
        <v>47</v>
      </c>
      <c r="C70" t="s">
        <v>228</v>
      </c>
      <c r="D70" t="s">
        <v>918</v>
      </c>
      <c r="E70" t="s">
        <v>919</v>
      </c>
      <c r="F70" t="s">
        <v>920</v>
      </c>
      <c r="G70" t="s">
        <v>47</v>
      </c>
      <c r="H70">
        <v>150.75</v>
      </c>
      <c r="J70">
        <v>55023.75</v>
      </c>
    </row>
    <row r="71" spans="1:10" x14ac:dyDescent="0.25">
      <c r="A71">
        <v>2015</v>
      </c>
      <c r="B71" t="s">
        <v>47</v>
      </c>
      <c r="C71" t="s">
        <v>364</v>
      </c>
      <c r="D71" t="s">
        <v>921</v>
      </c>
      <c r="E71" t="s">
        <v>922</v>
      </c>
      <c r="F71" t="s">
        <v>923</v>
      </c>
      <c r="G71" t="s">
        <v>47</v>
      </c>
      <c r="H71">
        <v>191.13</v>
      </c>
      <c r="J71">
        <v>69762.45</v>
      </c>
    </row>
    <row r="72" spans="1:10" x14ac:dyDescent="0.25">
      <c r="A72">
        <v>2015</v>
      </c>
      <c r="B72" t="s">
        <v>47</v>
      </c>
      <c r="C72" t="s">
        <v>380</v>
      </c>
      <c r="D72" t="s">
        <v>924</v>
      </c>
      <c r="E72" t="s">
        <v>925</v>
      </c>
      <c r="F72" t="s">
        <v>926</v>
      </c>
      <c r="G72" t="s">
        <v>47</v>
      </c>
      <c r="H72">
        <v>184.16</v>
      </c>
      <c r="J72">
        <v>67218.399999999994</v>
      </c>
    </row>
    <row r="73" spans="1:10" x14ac:dyDescent="0.25">
      <c r="A73">
        <v>2015</v>
      </c>
      <c r="B73" t="s">
        <v>47</v>
      </c>
      <c r="C73" t="s">
        <v>289</v>
      </c>
      <c r="D73" t="s">
        <v>927</v>
      </c>
      <c r="E73" t="s">
        <v>928</v>
      </c>
      <c r="F73" t="s">
        <v>929</v>
      </c>
      <c r="G73" t="s">
        <v>47</v>
      </c>
      <c r="H73">
        <v>224.55</v>
      </c>
      <c r="J73">
        <v>81960.75</v>
      </c>
    </row>
    <row r="74" spans="1:10" x14ac:dyDescent="0.25">
      <c r="A74">
        <v>2015</v>
      </c>
      <c r="B74" t="s">
        <v>47</v>
      </c>
      <c r="C74" t="s">
        <v>162</v>
      </c>
      <c r="D74" t="s">
        <v>943</v>
      </c>
      <c r="E74" t="s">
        <v>944</v>
      </c>
      <c r="F74" t="s">
        <v>945</v>
      </c>
      <c r="G74" t="s">
        <v>47</v>
      </c>
      <c r="H74">
        <v>168.35</v>
      </c>
      <c r="J74">
        <v>61447.75</v>
      </c>
    </row>
    <row r="75" spans="1:10" x14ac:dyDescent="0.25">
      <c r="A75">
        <v>2015</v>
      </c>
      <c r="B75" t="s">
        <v>47</v>
      </c>
      <c r="C75" t="s">
        <v>68</v>
      </c>
      <c r="D75" t="s">
        <v>946</v>
      </c>
      <c r="E75" t="s">
        <v>947</v>
      </c>
      <c r="F75" t="s">
        <v>948</v>
      </c>
      <c r="G75" t="s">
        <v>47</v>
      </c>
      <c r="H75">
        <v>202.23</v>
      </c>
      <c r="J75">
        <v>73813.95</v>
      </c>
    </row>
    <row r="76" spans="1:10" x14ac:dyDescent="0.25">
      <c r="A76">
        <v>2015</v>
      </c>
      <c r="B76" t="s">
        <v>47</v>
      </c>
      <c r="C76" t="s">
        <v>178</v>
      </c>
      <c r="D76" t="s">
        <v>949</v>
      </c>
      <c r="E76" t="s">
        <v>950</v>
      </c>
      <c r="F76" t="s">
        <v>951</v>
      </c>
      <c r="G76" t="s">
        <v>47</v>
      </c>
      <c r="H76">
        <v>198.47</v>
      </c>
      <c r="J76">
        <v>72441.55</v>
      </c>
    </row>
    <row r="77" spans="1:10" x14ac:dyDescent="0.25">
      <c r="A77">
        <v>2015</v>
      </c>
      <c r="B77" t="s">
        <v>47</v>
      </c>
      <c r="C77" t="s">
        <v>134</v>
      </c>
      <c r="D77" t="s">
        <v>952</v>
      </c>
      <c r="E77" t="s">
        <v>953</v>
      </c>
      <c r="F77" t="s">
        <v>954</v>
      </c>
      <c r="G77" t="s">
        <v>47</v>
      </c>
      <c r="H77">
        <v>232.35</v>
      </c>
      <c r="J77">
        <v>84807.75</v>
      </c>
    </row>
    <row r="78" spans="1:10" x14ac:dyDescent="0.25">
      <c r="A78">
        <v>2015</v>
      </c>
      <c r="B78" t="s">
        <v>47</v>
      </c>
      <c r="C78" t="s">
        <v>360</v>
      </c>
      <c r="D78" t="s">
        <v>967</v>
      </c>
      <c r="E78" t="s">
        <v>968</v>
      </c>
      <c r="F78" t="s">
        <v>969</v>
      </c>
      <c r="G78" t="s">
        <v>47</v>
      </c>
      <c r="H78">
        <v>102.22</v>
      </c>
      <c r="J78">
        <v>37310.300000000003</v>
      </c>
    </row>
    <row r="79" spans="1:10" x14ac:dyDescent="0.25">
      <c r="A79">
        <v>2015</v>
      </c>
      <c r="B79" t="s">
        <v>47</v>
      </c>
      <c r="C79" t="s">
        <v>65</v>
      </c>
      <c r="D79" t="s">
        <v>970</v>
      </c>
      <c r="E79" t="s">
        <v>971</v>
      </c>
      <c r="F79" t="s">
        <v>972</v>
      </c>
      <c r="G79" t="s">
        <v>47</v>
      </c>
      <c r="H79">
        <v>152.26</v>
      </c>
      <c r="J79">
        <v>55574.899999999994</v>
      </c>
    </row>
    <row r="80" spans="1:10" x14ac:dyDescent="0.25">
      <c r="A80">
        <v>2015</v>
      </c>
      <c r="B80" t="s">
        <v>47</v>
      </c>
      <c r="C80" t="s">
        <v>307</v>
      </c>
      <c r="D80" t="s">
        <v>973</v>
      </c>
      <c r="E80" t="s">
        <v>974</v>
      </c>
      <c r="F80" t="s">
        <v>975</v>
      </c>
      <c r="G80" t="s">
        <v>47</v>
      </c>
      <c r="H80">
        <v>112.95</v>
      </c>
      <c r="J80">
        <v>41226.75</v>
      </c>
    </row>
    <row r="81" spans="1:10" x14ac:dyDescent="0.25">
      <c r="A81">
        <v>2015</v>
      </c>
      <c r="B81" t="s">
        <v>47</v>
      </c>
      <c r="C81" t="s">
        <v>57</v>
      </c>
      <c r="D81" t="s">
        <v>976</v>
      </c>
      <c r="E81" t="s">
        <v>977</v>
      </c>
      <c r="F81" t="s">
        <v>978</v>
      </c>
      <c r="G81" t="s">
        <v>47</v>
      </c>
      <c r="H81">
        <v>162.99</v>
      </c>
      <c r="J81">
        <v>59491.350000000006</v>
      </c>
    </row>
    <row r="82" spans="1:10" x14ac:dyDescent="0.25">
      <c r="A82">
        <v>2015</v>
      </c>
      <c r="B82" t="s">
        <v>47</v>
      </c>
      <c r="C82" t="s">
        <v>173</v>
      </c>
      <c r="D82" t="s">
        <v>991</v>
      </c>
      <c r="E82" t="s">
        <v>992</v>
      </c>
      <c r="F82" t="s">
        <v>993</v>
      </c>
      <c r="G82" t="s">
        <v>47</v>
      </c>
      <c r="H82">
        <v>199.88</v>
      </c>
      <c r="J82">
        <v>72956.2</v>
      </c>
    </row>
    <row r="83" spans="1:10" x14ac:dyDescent="0.25">
      <c r="A83">
        <v>2015</v>
      </c>
      <c r="B83" t="s">
        <v>47</v>
      </c>
      <c r="C83" t="s">
        <v>88</v>
      </c>
      <c r="D83" t="s">
        <v>994</v>
      </c>
      <c r="E83" t="s">
        <v>995</v>
      </c>
      <c r="F83" t="s">
        <v>996</v>
      </c>
      <c r="G83" t="s">
        <v>47</v>
      </c>
      <c r="H83">
        <v>264.02</v>
      </c>
      <c r="J83">
        <v>96367.299999999988</v>
      </c>
    </row>
    <row r="84" spans="1:10" x14ac:dyDescent="0.25">
      <c r="A84">
        <v>2015</v>
      </c>
      <c r="B84" t="s">
        <v>47</v>
      </c>
      <c r="C84" t="s">
        <v>227</v>
      </c>
      <c r="D84" t="s">
        <v>997</v>
      </c>
      <c r="E84" t="s">
        <v>998</v>
      </c>
      <c r="F84" t="s">
        <v>999</v>
      </c>
      <c r="G84" t="s">
        <v>47</v>
      </c>
      <c r="H84">
        <v>221.34</v>
      </c>
      <c r="J84">
        <v>80789.100000000006</v>
      </c>
    </row>
    <row r="85" spans="1:10" x14ac:dyDescent="0.25">
      <c r="A85">
        <v>2015</v>
      </c>
      <c r="B85" t="s">
        <v>47</v>
      </c>
      <c r="C85" t="s">
        <v>186</v>
      </c>
      <c r="D85" t="s">
        <v>1000</v>
      </c>
      <c r="E85" t="s">
        <v>1001</v>
      </c>
      <c r="F85" t="s">
        <v>1002</v>
      </c>
      <c r="G85" t="s">
        <v>47</v>
      </c>
      <c r="H85">
        <v>285.47000000000003</v>
      </c>
      <c r="J85">
        <v>104196.55</v>
      </c>
    </row>
    <row r="86" spans="1:10" x14ac:dyDescent="0.25">
      <c r="A86">
        <v>2015</v>
      </c>
      <c r="B86" t="s">
        <v>47</v>
      </c>
      <c r="C86" t="s">
        <v>195</v>
      </c>
      <c r="D86" t="s">
        <v>1015</v>
      </c>
      <c r="E86" t="s">
        <v>1016</v>
      </c>
      <c r="F86" t="s">
        <v>1017</v>
      </c>
      <c r="G86" t="s">
        <v>47</v>
      </c>
      <c r="H86">
        <v>233.06</v>
      </c>
      <c r="J86">
        <v>85066.9</v>
      </c>
    </row>
    <row r="87" spans="1:10" x14ac:dyDescent="0.25">
      <c r="A87">
        <v>2015</v>
      </c>
      <c r="B87" t="s">
        <v>47</v>
      </c>
      <c r="C87" t="s">
        <v>325</v>
      </c>
      <c r="D87" t="s">
        <v>1018</v>
      </c>
      <c r="E87" t="s">
        <v>1019</v>
      </c>
      <c r="F87" t="s">
        <v>1020</v>
      </c>
      <c r="G87" t="s">
        <v>47</v>
      </c>
      <c r="H87">
        <v>306.61</v>
      </c>
      <c r="J87">
        <v>111912.65000000001</v>
      </c>
    </row>
    <row r="88" spans="1:10" x14ac:dyDescent="0.25">
      <c r="A88">
        <v>2015</v>
      </c>
      <c r="B88" t="s">
        <v>47</v>
      </c>
      <c r="C88" t="s">
        <v>103</v>
      </c>
      <c r="D88" t="s">
        <v>1021</v>
      </c>
      <c r="E88" t="s">
        <v>1022</v>
      </c>
      <c r="F88" t="s">
        <v>1023</v>
      </c>
      <c r="G88" t="s">
        <v>47</v>
      </c>
      <c r="H88">
        <v>254.51</v>
      </c>
      <c r="J88">
        <v>92896.15</v>
      </c>
    </row>
    <row r="89" spans="1:10" x14ac:dyDescent="0.25">
      <c r="A89">
        <v>2015</v>
      </c>
      <c r="B89" t="s">
        <v>47</v>
      </c>
      <c r="C89" t="s">
        <v>124</v>
      </c>
      <c r="D89" t="s">
        <v>1024</v>
      </c>
      <c r="E89" t="s">
        <v>1025</v>
      </c>
      <c r="F89" t="s">
        <v>1026</v>
      </c>
      <c r="G89" t="s">
        <v>47</v>
      </c>
      <c r="H89">
        <v>328.08</v>
      </c>
      <c r="J89">
        <v>119749.2</v>
      </c>
    </row>
    <row r="90" spans="1:10" x14ac:dyDescent="0.25">
      <c r="A90">
        <v>2015</v>
      </c>
      <c r="B90" t="s">
        <v>47</v>
      </c>
      <c r="C90" t="s">
        <v>190</v>
      </c>
      <c r="D90" t="s">
        <v>1039</v>
      </c>
      <c r="E90" t="s">
        <v>1040</v>
      </c>
      <c r="F90" t="s">
        <v>1041</v>
      </c>
      <c r="G90" t="s">
        <v>47</v>
      </c>
      <c r="H90">
        <v>149.63999999999999</v>
      </c>
      <c r="J90">
        <v>54618.6</v>
      </c>
    </row>
    <row r="91" spans="1:10" x14ac:dyDescent="0.25">
      <c r="A91">
        <v>2015</v>
      </c>
      <c r="B91" t="s">
        <v>47</v>
      </c>
      <c r="C91" t="s">
        <v>264</v>
      </c>
      <c r="D91" t="s">
        <v>1042</v>
      </c>
      <c r="E91" t="s">
        <v>1043</v>
      </c>
      <c r="F91" t="s">
        <v>1044</v>
      </c>
      <c r="G91" t="s">
        <v>47</v>
      </c>
      <c r="H91">
        <v>199.66</v>
      </c>
      <c r="J91">
        <v>72875.899999999994</v>
      </c>
    </row>
    <row r="92" spans="1:10" x14ac:dyDescent="0.25">
      <c r="A92">
        <v>2015</v>
      </c>
      <c r="B92" t="s">
        <v>47</v>
      </c>
      <c r="C92" t="s">
        <v>376</v>
      </c>
      <c r="D92" t="s">
        <v>1045</v>
      </c>
      <c r="E92" t="s">
        <v>1046</v>
      </c>
      <c r="F92" t="s">
        <v>1047</v>
      </c>
      <c r="G92" t="s">
        <v>47</v>
      </c>
      <c r="H92">
        <v>171.09</v>
      </c>
      <c r="J92">
        <v>62447.85</v>
      </c>
    </row>
    <row r="93" spans="1:10" x14ac:dyDescent="0.25">
      <c r="A93">
        <v>2015</v>
      </c>
      <c r="B93" t="s">
        <v>47</v>
      </c>
      <c r="C93" t="s">
        <v>336</v>
      </c>
      <c r="D93" t="s">
        <v>1048</v>
      </c>
      <c r="E93" t="s">
        <v>1049</v>
      </c>
      <c r="F93" t="s">
        <v>1050</v>
      </c>
      <c r="G93" t="s">
        <v>47</v>
      </c>
      <c r="H93">
        <v>221.12</v>
      </c>
      <c r="J93">
        <v>80708.800000000003</v>
      </c>
    </row>
    <row r="94" spans="1:10" x14ac:dyDescent="0.25">
      <c r="A94">
        <v>2015</v>
      </c>
      <c r="B94" t="s">
        <v>47</v>
      </c>
      <c r="C94" t="s">
        <v>113</v>
      </c>
      <c r="D94" t="s">
        <v>1057</v>
      </c>
      <c r="E94" t="s">
        <v>1058</v>
      </c>
      <c r="F94" t="s">
        <v>1059</v>
      </c>
      <c r="G94" t="s">
        <v>47</v>
      </c>
      <c r="H94">
        <v>68.62</v>
      </c>
      <c r="J94">
        <v>25046.300000000003</v>
      </c>
    </row>
    <row r="95" spans="1:10" x14ac:dyDescent="0.25">
      <c r="A95">
        <v>2015</v>
      </c>
      <c r="B95" t="s">
        <v>47</v>
      </c>
      <c r="C95" t="s">
        <v>344</v>
      </c>
      <c r="D95" t="s">
        <v>1060</v>
      </c>
      <c r="E95" t="s">
        <v>1061</v>
      </c>
      <c r="F95" t="s">
        <v>1062</v>
      </c>
      <c r="G95" t="s">
        <v>47</v>
      </c>
      <c r="H95">
        <v>110.31</v>
      </c>
      <c r="J95">
        <v>40263.15</v>
      </c>
    </row>
    <row r="96" spans="1:10" x14ac:dyDescent="0.25">
      <c r="A96">
        <v>2015</v>
      </c>
      <c r="B96" t="s">
        <v>47</v>
      </c>
      <c r="C96" t="s">
        <v>200</v>
      </c>
      <c r="D96" t="s">
        <v>1069</v>
      </c>
      <c r="E96" t="s">
        <v>1070</v>
      </c>
      <c r="F96" t="s">
        <v>1071</v>
      </c>
      <c r="G96" t="s">
        <v>47</v>
      </c>
      <c r="H96">
        <v>101.75</v>
      </c>
      <c r="J96">
        <v>37138.75</v>
      </c>
    </row>
    <row r="97" spans="1:10" x14ac:dyDescent="0.25">
      <c r="A97">
        <v>2015</v>
      </c>
      <c r="B97" t="s">
        <v>47</v>
      </c>
      <c r="C97" t="s">
        <v>248</v>
      </c>
      <c r="D97" t="s">
        <v>1072</v>
      </c>
      <c r="E97" t="s">
        <v>1073</v>
      </c>
      <c r="F97" t="s">
        <v>1074</v>
      </c>
      <c r="G97" t="s">
        <v>47</v>
      </c>
      <c r="H97">
        <v>136.49</v>
      </c>
      <c r="J97">
        <v>49818.850000000006</v>
      </c>
    </row>
    <row r="98" spans="1:10" x14ac:dyDescent="0.25">
      <c r="A98">
        <v>2015</v>
      </c>
      <c r="B98" t="s">
        <v>47</v>
      </c>
      <c r="C98" t="s">
        <v>224</v>
      </c>
      <c r="D98" t="s">
        <v>1087</v>
      </c>
      <c r="E98" t="s">
        <v>1088</v>
      </c>
      <c r="F98" t="s">
        <v>1089</v>
      </c>
      <c r="G98" t="s">
        <v>47</v>
      </c>
      <c r="H98">
        <v>124.46</v>
      </c>
      <c r="J98">
        <v>45427.899999999994</v>
      </c>
    </row>
    <row r="99" spans="1:10" x14ac:dyDescent="0.25">
      <c r="A99">
        <v>2015</v>
      </c>
      <c r="B99" t="s">
        <v>47</v>
      </c>
      <c r="C99" t="s">
        <v>99</v>
      </c>
      <c r="D99" t="s">
        <v>1090</v>
      </c>
      <c r="E99" t="s">
        <v>1091</v>
      </c>
      <c r="F99" t="s">
        <v>1092</v>
      </c>
      <c r="G99" t="s">
        <v>47</v>
      </c>
      <c r="H99">
        <v>159.19999999999999</v>
      </c>
      <c r="J99">
        <v>58107.999999999993</v>
      </c>
    </row>
    <row r="100" spans="1:10" x14ac:dyDescent="0.25">
      <c r="A100">
        <v>2015</v>
      </c>
      <c r="B100" t="s">
        <v>47</v>
      </c>
      <c r="C100" t="s">
        <v>286</v>
      </c>
      <c r="D100" t="s">
        <v>1093</v>
      </c>
      <c r="E100" t="s">
        <v>1094</v>
      </c>
      <c r="F100" t="s">
        <v>1095</v>
      </c>
      <c r="G100" t="s">
        <v>47</v>
      </c>
      <c r="H100">
        <v>137.33000000000001</v>
      </c>
      <c r="J100">
        <v>50125.450000000004</v>
      </c>
    </row>
    <row r="101" spans="1:10" x14ac:dyDescent="0.25">
      <c r="A101">
        <v>2015</v>
      </c>
      <c r="B101" t="s">
        <v>47</v>
      </c>
      <c r="C101" t="s">
        <v>292</v>
      </c>
      <c r="D101" t="s">
        <v>1096</v>
      </c>
      <c r="E101" t="s">
        <v>1097</v>
      </c>
      <c r="F101" t="s">
        <v>1098</v>
      </c>
      <c r="G101" t="s">
        <v>47</v>
      </c>
      <c r="H101">
        <v>172.08</v>
      </c>
      <c r="J101">
        <v>62809.200000000004</v>
      </c>
    </row>
    <row r="102" spans="1:10" x14ac:dyDescent="0.25">
      <c r="A102">
        <v>2015</v>
      </c>
      <c r="B102" t="s">
        <v>47</v>
      </c>
      <c r="C102" t="s">
        <v>304</v>
      </c>
      <c r="D102" t="s">
        <v>1111</v>
      </c>
      <c r="E102" t="s">
        <v>1112</v>
      </c>
      <c r="F102" t="s">
        <v>1113</v>
      </c>
      <c r="G102" t="s">
        <v>47</v>
      </c>
      <c r="H102">
        <v>157.88</v>
      </c>
      <c r="J102">
        <v>57626.2</v>
      </c>
    </row>
    <row r="103" spans="1:10" x14ac:dyDescent="0.25">
      <c r="A103">
        <v>2015</v>
      </c>
      <c r="B103" t="s">
        <v>47</v>
      </c>
      <c r="C103" t="s">
        <v>203</v>
      </c>
      <c r="D103" t="s">
        <v>1114</v>
      </c>
      <c r="E103" t="s">
        <v>1115</v>
      </c>
      <c r="F103" t="s">
        <v>1116</v>
      </c>
      <c r="G103" t="s">
        <v>47</v>
      </c>
      <c r="H103">
        <v>204.76</v>
      </c>
      <c r="J103">
        <v>74737.399999999994</v>
      </c>
    </row>
    <row r="104" spans="1:10" x14ac:dyDescent="0.25">
      <c r="A104">
        <v>2015</v>
      </c>
      <c r="B104" t="s">
        <v>47</v>
      </c>
      <c r="C104" t="s">
        <v>58</v>
      </c>
      <c r="D104" t="s">
        <v>1117</v>
      </c>
      <c r="E104" t="s">
        <v>1118</v>
      </c>
      <c r="F104" t="s">
        <v>1119</v>
      </c>
      <c r="G104" t="s">
        <v>47</v>
      </c>
      <c r="H104">
        <v>174.32</v>
      </c>
      <c r="J104">
        <v>63626.799999999996</v>
      </c>
    </row>
    <row r="105" spans="1:10" x14ac:dyDescent="0.25">
      <c r="A105">
        <v>2015</v>
      </c>
      <c r="B105" t="s">
        <v>47</v>
      </c>
      <c r="C105" t="s">
        <v>138</v>
      </c>
      <c r="D105" t="s">
        <v>1120</v>
      </c>
      <c r="E105" t="s">
        <v>1121</v>
      </c>
      <c r="F105" t="s">
        <v>1122</v>
      </c>
      <c r="G105" t="s">
        <v>47</v>
      </c>
      <c r="H105">
        <v>221.2</v>
      </c>
      <c r="J105">
        <v>80738</v>
      </c>
    </row>
    <row r="106" spans="1:10" x14ac:dyDescent="0.25">
      <c r="A106">
        <v>2015</v>
      </c>
      <c r="B106" t="s">
        <v>47</v>
      </c>
      <c r="C106" t="s">
        <v>285</v>
      </c>
      <c r="D106" t="s">
        <v>1135</v>
      </c>
      <c r="E106" t="s">
        <v>1136</v>
      </c>
      <c r="F106" t="s">
        <v>1137</v>
      </c>
      <c r="G106" t="s">
        <v>47</v>
      </c>
      <c r="H106">
        <v>173.58</v>
      </c>
      <c r="J106">
        <v>63356.700000000004</v>
      </c>
    </row>
    <row r="107" spans="1:10" x14ac:dyDescent="0.25">
      <c r="A107">
        <v>2015</v>
      </c>
      <c r="B107" t="s">
        <v>47</v>
      </c>
      <c r="C107" t="s">
        <v>356</v>
      </c>
      <c r="D107" t="s">
        <v>1138</v>
      </c>
      <c r="E107" t="s">
        <v>1139</v>
      </c>
      <c r="F107" t="s">
        <v>1140</v>
      </c>
      <c r="G107" t="s">
        <v>47</v>
      </c>
      <c r="H107">
        <v>220.46</v>
      </c>
      <c r="J107">
        <v>80467.900000000009</v>
      </c>
    </row>
    <row r="108" spans="1:10" x14ac:dyDescent="0.25">
      <c r="A108">
        <v>2015</v>
      </c>
      <c r="B108" t="s">
        <v>47</v>
      </c>
      <c r="C108" t="s">
        <v>258</v>
      </c>
      <c r="D108" t="s">
        <v>1141</v>
      </c>
      <c r="E108" t="s">
        <v>1142</v>
      </c>
      <c r="F108" t="s">
        <v>1143</v>
      </c>
      <c r="G108" t="s">
        <v>47</v>
      </c>
      <c r="H108">
        <v>193.99</v>
      </c>
      <c r="J108">
        <v>70806.350000000006</v>
      </c>
    </row>
    <row r="109" spans="1:10" x14ac:dyDescent="0.25">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M123"/>
  <sheetViews>
    <sheetView topLeftCell="D43" workbookViewId="0">
      <selection activeCell="D62" sqref="D62:J67"/>
    </sheetView>
  </sheetViews>
  <sheetFormatPr defaultRowHeight="15" x14ac:dyDescent="0.25"/>
  <cols>
    <col min="1" max="1" width="8.5703125" bestFit="1" customWidth="1"/>
    <col min="2" max="2" width="11.7109375" bestFit="1" customWidth="1"/>
    <col min="3" max="3" width="13.42578125" bestFit="1" customWidth="1"/>
    <col min="4" max="4" width="27.42578125" bestFit="1" customWidth="1"/>
    <col min="5" max="5" width="22.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3" x14ac:dyDescent="0.25">
      <c r="A1" t="s">
        <v>2</v>
      </c>
      <c r="B1" t="s">
        <v>1</v>
      </c>
      <c r="C1" t="s">
        <v>4</v>
      </c>
      <c r="D1" t="s">
        <v>0</v>
      </c>
      <c r="E1" t="s">
        <v>0</v>
      </c>
      <c r="F1" t="s">
        <v>699</v>
      </c>
      <c r="G1" t="s">
        <v>1147</v>
      </c>
      <c r="H1" t="s">
        <v>3</v>
      </c>
      <c r="I1" t="s">
        <v>577</v>
      </c>
      <c r="J1" t="s">
        <v>578</v>
      </c>
      <c r="K1" t="s">
        <v>1165</v>
      </c>
      <c r="L1" t="s">
        <v>1166</v>
      </c>
      <c r="M1" t="s">
        <v>577</v>
      </c>
    </row>
    <row r="2" spans="1:13" x14ac:dyDescent="0.25">
      <c r="A2">
        <v>2015</v>
      </c>
      <c r="B2" t="s">
        <v>48</v>
      </c>
      <c r="C2" t="s">
        <v>254</v>
      </c>
      <c r="D2" t="s">
        <v>253</v>
      </c>
      <c r="E2" t="s">
        <v>579</v>
      </c>
      <c r="F2" t="s">
        <v>1149</v>
      </c>
      <c r="G2" t="s">
        <v>1161</v>
      </c>
      <c r="H2">
        <v>66.75</v>
      </c>
      <c r="I2">
        <v>13.31</v>
      </c>
      <c r="J2">
        <v>29221.9</v>
      </c>
      <c r="K2" t="s">
        <v>1164</v>
      </c>
    </row>
    <row r="3" spans="1:13" x14ac:dyDescent="0.25">
      <c r="A3">
        <v>2015</v>
      </c>
      <c r="B3" t="s">
        <v>48</v>
      </c>
      <c r="C3" t="s">
        <v>298</v>
      </c>
      <c r="D3" t="s">
        <v>297</v>
      </c>
      <c r="E3" t="s">
        <v>580</v>
      </c>
      <c r="F3" t="s">
        <v>1150</v>
      </c>
      <c r="G3" t="s">
        <v>1161</v>
      </c>
      <c r="H3">
        <v>85.09</v>
      </c>
      <c r="I3">
        <v>13.930000000000001</v>
      </c>
      <c r="J3">
        <v>36142.300000000003</v>
      </c>
    </row>
    <row r="4" spans="1:13" x14ac:dyDescent="0.25">
      <c r="A4">
        <v>2015</v>
      </c>
      <c r="B4" t="s">
        <v>48</v>
      </c>
      <c r="C4" t="s">
        <v>324</v>
      </c>
      <c r="D4" t="s">
        <v>323</v>
      </c>
      <c r="E4" t="s">
        <v>581</v>
      </c>
      <c r="F4" t="s">
        <v>700</v>
      </c>
      <c r="G4" t="s">
        <v>1161</v>
      </c>
      <c r="H4">
        <v>103.14</v>
      </c>
      <c r="I4">
        <v>15.13</v>
      </c>
      <c r="J4">
        <v>43168.549999999996</v>
      </c>
      <c r="L4">
        <f>J5-J4</f>
        <v>9639.6500000000087</v>
      </c>
      <c r="M4">
        <f>I5-I4</f>
        <v>0.54000000000000092</v>
      </c>
    </row>
    <row r="5" spans="1:13" x14ac:dyDescent="0.25">
      <c r="A5">
        <v>2015</v>
      </c>
      <c r="B5" t="s">
        <v>48</v>
      </c>
      <c r="C5" t="s">
        <v>62</v>
      </c>
      <c r="D5" t="s">
        <v>61</v>
      </c>
      <c r="E5" t="s">
        <v>582</v>
      </c>
      <c r="F5" t="s">
        <v>701</v>
      </c>
      <c r="G5" t="s">
        <v>1161</v>
      </c>
      <c r="H5">
        <v>129.01</v>
      </c>
      <c r="I5">
        <v>15.670000000000002</v>
      </c>
      <c r="J5">
        <v>52808.200000000004</v>
      </c>
    </row>
    <row r="6" spans="1:13" x14ac:dyDescent="0.25">
      <c r="A6">
        <v>2015</v>
      </c>
      <c r="B6" t="s">
        <v>48</v>
      </c>
      <c r="C6" t="s">
        <v>128</v>
      </c>
      <c r="D6" t="s">
        <v>127</v>
      </c>
      <c r="E6" t="s">
        <v>583</v>
      </c>
      <c r="F6" t="s">
        <v>702</v>
      </c>
      <c r="G6" t="s">
        <v>1161</v>
      </c>
      <c r="H6">
        <v>117.33</v>
      </c>
      <c r="I6">
        <v>15.33</v>
      </c>
      <c r="J6">
        <v>48420.9</v>
      </c>
      <c r="L6">
        <f>J7-J6</f>
        <v>9650.5999999999985</v>
      </c>
      <c r="M6">
        <f>I7-I6</f>
        <v>0.54999999999999893</v>
      </c>
    </row>
    <row r="7" spans="1:13" x14ac:dyDescent="0.25">
      <c r="A7">
        <v>2015</v>
      </c>
      <c r="B7" t="s">
        <v>48</v>
      </c>
      <c r="C7" t="s">
        <v>342</v>
      </c>
      <c r="D7" t="s">
        <v>341</v>
      </c>
      <c r="E7" t="s">
        <v>584</v>
      </c>
      <c r="F7" t="s">
        <v>703</v>
      </c>
      <c r="G7" t="s">
        <v>1161</v>
      </c>
      <c r="H7">
        <v>143.22</v>
      </c>
      <c r="I7">
        <v>15.879999999999999</v>
      </c>
      <c r="J7">
        <v>58071.5</v>
      </c>
    </row>
    <row r="8" spans="1:13" x14ac:dyDescent="0.25">
      <c r="A8">
        <v>2015</v>
      </c>
      <c r="B8" t="s">
        <v>48</v>
      </c>
      <c r="C8" t="s">
        <v>95</v>
      </c>
      <c r="D8" t="s">
        <v>94</v>
      </c>
      <c r="E8" t="s">
        <v>585</v>
      </c>
      <c r="F8" t="s">
        <v>704</v>
      </c>
      <c r="G8" t="s">
        <v>1161</v>
      </c>
      <c r="H8">
        <v>161.03</v>
      </c>
      <c r="I8">
        <v>15.39</v>
      </c>
      <c r="J8">
        <v>64393.3</v>
      </c>
      <c r="L8">
        <f>J9-J8</f>
        <v>10340.449999999997</v>
      </c>
      <c r="M8">
        <f>I9-I8</f>
        <v>1.120000000000001</v>
      </c>
    </row>
    <row r="9" spans="1:13" x14ac:dyDescent="0.25">
      <c r="A9">
        <v>2015</v>
      </c>
      <c r="B9" t="s">
        <v>48</v>
      </c>
      <c r="C9" t="s">
        <v>270</v>
      </c>
      <c r="D9" t="s">
        <v>269</v>
      </c>
      <c r="E9" t="s">
        <v>586</v>
      </c>
      <c r="F9" t="s">
        <v>705</v>
      </c>
      <c r="G9" t="s">
        <v>1161</v>
      </c>
      <c r="H9">
        <v>188.24</v>
      </c>
      <c r="I9">
        <v>16.510000000000002</v>
      </c>
      <c r="J9">
        <v>74733.75</v>
      </c>
    </row>
    <row r="10" spans="1:13" x14ac:dyDescent="0.2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x14ac:dyDescent="0.25">
      <c r="A11">
        <v>2015</v>
      </c>
      <c r="B11" t="s">
        <v>48</v>
      </c>
      <c r="C11" t="s">
        <v>284</v>
      </c>
      <c r="D11" t="s">
        <v>283</v>
      </c>
      <c r="E11" t="s">
        <v>588</v>
      </c>
      <c r="F11" t="s">
        <v>707</v>
      </c>
      <c r="G11" t="s">
        <v>1161</v>
      </c>
      <c r="H11">
        <v>188.55</v>
      </c>
      <c r="I11">
        <v>16.830000000000002</v>
      </c>
      <c r="J11">
        <v>74963.700000000012</v>
      </c>
    </row>
    <row r="12" spans="1:13" x14ac:dyDescent="0.25">
      <c r="A12">
        <v>2015</v>
      </c>
      <c r="B12" t="s">
        <v>48</v>
      </c>
      <c r="C12" t="s">
        <v>247</v>
      </c>
      <c r="D12" t="s">
        <v>246</v>
      </c>
      <c r="E12" t="s">
        <v>589</v>
      </c>
      <c r="F12" t="s">
        <v>708</v>
      </c>
      <c r="G12" t="s">
        <v>1161</v>
      </c>
      <c r="H12">
        <v>189.53</v>
      </c>
      <c r="I12">
        <v>15.82</v>
      </c>
      <c r="J12">
        <v>74952.75</v>
      </c>
      <c r="L12">
        <f>J13-J12</f>
        <v>13344.399999999994</v>
      </c>
      <c r="M12">
        <f>I13-I12</f>
        <v>1.4699999999999989</v>
      </c>
    </row>
    <row r="13" spans="1:13" x14ac:dyDescent="0.25">
      <c r="A13">
        <v>2015</v>
      </c>
      <c r="B13" t="s">
        <v>48</v>
      </c>
      <c r="C13" t="s">
        <v>164</v>
      </c>
      <c r="D13" t="s">
        <v>163</v>
      </c>
      <c r="E13" t="s">
        <v>590</v>
      </c>
      <c r="F13" t="s">
        <v>709</v>
      </c>
      <c r="G13" t="s">
        <v>1161</v>
      </c>
      <c r="H13">
        <v>224.62</v>
      </c>
      <c r="I13">
        <v>17.29</v>
      </c>
      <c r="J13">
        <v>88297.15</v>
      </c>
    </row>
    <row r="14" spans="1:13" x14ac:dyDescent="0.2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x14ac:dyDescent="0.25">
      <c r="A15">
        <v>2015</v>
      </c>
      <c r="B15" t="s">
        <v>48</v>
      </c>
      <c r="C15" t="s">
        <v>371</v>
      </c>
      <c r="D15" t="s">
        <v>370</v>
      </c>
      <c r="E15" t="s">
        <v>592</v>
      </c>
      <c r="F15" t="s">
        <v>713</v>
      </c>
      <c r="G15" t="s">
        <v>1161</v>
      </c>
      <c r="H15">
        <v>256.25</v>
      </c>
      <c r="I15">
        <v>18.260000000000002</v>
      </c>
      <c r="J15">
        <v>100196.15</v>
      </c>
    </row>
    <row r="16" spans="1:13" x14ac:dyDescent="0.25">
      <c r="A16">
        <v>2015</v>
      </c>
      <c r="B16" t="s">
        <v>48</v>
      </c>
      <c r="C16" t="s">
        <v>572</v>
      </c>
      <c r="D16" t="s">
        <v>571</v>
      </c>
      <c r="E16" t="s">
        <v>593</v>
      </c>
      <c r="F16" t="s">
        <v>716</v>
      </c>
      <c r="G16" t="s">
        <v>1161</v>
      </c>
      <c r="H16">
        <v>156.97</v>
      </c>
      <c r="I16">
        <v>15.25</v>
      </c>
      <c r="J16">
        <v>62860.3</v>
      </c>
      <c r="L16">
        <f>J17-J16</f>
        <v>26513.599999999991</v>
      </c>
      <c r="M16">
        <f>I17-I16</f>
        <v>6.0399999999999991</v>
      </c>
    </row>
    <row r="17" spans="1:13" x14ac:dyDescent="0.25">
      <c r="A17">
        <v>2015</v>
      </c>
      <c r="B17" t="s">
        <v>48</v>
      </c>
      <c r="C17" t="s">
        <v>570</v>
      </c>
      <c r="D17" t="s">
        <v>569</v>
      </c>
      <c r="E17" t="s">
        <v>594</v>
      </c>
      <c r="F17" t="s">
        <v>717</v>
      </c>
      <c r="G17" t="s">
        <v>1161</v>
      </c>
      <c r="H17">
        <v>223.57</v>
      </c>
      <c r="I17">
        <v>21.29</v>
      </c>
      <c r="J17">
        <v>89373.9</v>
      </c>
    </row>
    <row r="18" spans="1:13" x14ac:dyDescent="0.2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x14ac:dyDescent="0.25">
      <c r="A19">
        <v>2015</v>
      </c>
      <c r="B19" t="s">
        <v>48</v>
      </c>
      <c r="C19" t="s">
        <v>130</v>
      </c>
      <c r="D19" t="s">
        <v>129</v>
      </c>
      <c r="E19" t="s">
        <v>596</v>
      </c>
      <c r="F19" t="s">
        <v>721</v>
      </c>
      <c r="G19" t="s">
        <v>1161</v>
      </c>
      <c r="H19">
        <v>277.11</v>
      </c>
      <c r="I19">
        <v>17.73</v>
      </c>
      <c r="J19">
        <v>107616.6</v>
      </c>
    </row>
    <row r="20" spans="1:13" x14ac:dyDescent="0.25">
      <c r="A20">
        <v>2015</v>
      </c>
      <c r="B20" t="s">
        <v>48</v>
      </c>
      <c r="C20" t="s">
        <v>375</v>
      </c>
      <c r="D20" t="s">
        <v>374</v>
      </c>
      <c r="E20" t="s">
        <v>597</v>
      </c>
      <c r="F20" t="s">
        <v>724</v>
      </c>
      <c r="G20" t="s">
        <v>1161</v>
      </c>
      <c r="H20">
        <v>80.16</v>
      </c>
      <c r="I20">
        <v>9.66</v>
      </c>
      <c r="J20">
        <v>32784.299999999996</v>
      </c>
    </row>
    <row r="21" spans="1:13" x14ac:dyDescent="0.25">
      <c r="A21">
        <v>2015</v>
      </c>
      <c r="B21" t="s">
        <v>48</v>
      </c>
      <c r="C21" t="s">
        <v>295</v>
      </c>
      <c r="D21" t="s">
        <v>294</v>
      </c>
      <c r="E21" t="s">
        <v>598</v>
      </c>
      <c r="F21" t="s">
        <v>725</v>
      </c>
      <c r="G21" t="s">
        <v>1161</v>
      </c>
      <c r="H21">
        <v>104.78</v>
      </c>
      <c r="I21">
        <v>14.75</v>
      </c>
      <c r="J21">
        <v>43628.45</v>
      </c>
    </row>
    <row r="22" spans="1:13" x14ac:dyDescent="0.25">
      <c r="A22">
        <v>2015</v>
      </c>
      <c r="B22" t="s">
        <v>48</v>
      </c>
      <c r="C22" t="s">
        <v>315</v>
      </c>
      <c r="D22" t="s">
        <v>314</v>
      </c>
      <c r="E22" t="s">
        <v>599</v>
      </c>
      <c r="F22" t="s">
        <v>726</v>
      </c>
      <c r="G22" t="s">
        <v>1161</v>
      </c>
      <c r="H22">
        <v>118.23</v>
      </c>
      <c r="I22">
        <v>9.66</v>
      </c>
      <c r="J22">
        <v>46679.85</v>
      </c>
    </row>
    <row r="23" spans="1:13" x14ac:dyDescent="0.25">
      <c r="A23">
        <v>2015</v>
      </c>
      <c r="B23" t="s">
        <v>48</v>
      </c>
      <c r="C23" t="s">
        <v>70</v>
      </c>
      <c r="D23" t="s">
        <v>69</v>
      </c>
      <c r="E23" t="s">
        <v>600</v>
      </c>
      <c r="F23" t="s">
        <v>727</v>
      </c>
      <c r="G23" t="s">
        <v>1161</v>
      </c>
      <c r="H23">
        <v>140.66999999999999</v>
      </c>
      <c r="I23">
        <v>14.75</v>
      </c>
      <c r="J23">
        <v>56728.299999999996</v>
      </c>
    </row>
    <row r="24" spans="1:13" x14ac:dyDescent="0.25">
      <c r="A24">
        <v>2015</v>
      </c>
      <c r="B24" t="s">
        <v>48</v>
      </c>
      <c r="C24" t="s">
        <v>213</v>
      </c>
      <c r="D24" t="s">
        <v>212</v>
      </c>
      <c r="E24" t="s">
        <v>601</v>
      </c>
      <c r="F24" t="s">
        <v>728</v>
      </c>
      <c r="G24" t="s">
        <v>1161</v>
      </c>
      <c r="H24">
        <v>128.72</v>
      </c>
      <c r="I24">
        <v>14.03</v>
      </c>
      <c r="J24">
        <v>52103.75</v>
      </c>
    </row>
    <row r="25" spans="1:13" x14ac:dyDescent="0.25">
      <c r="A25">
        <v>2015</v>
      </c>
      <c r="B25" t="s">
        <v>48</v>
      </c>
      <c r="C25" t="s">
        <v>322</v>
      </c>
      <c r="D25" t="s">
        <v>321</v>
      </c>
      <c r="E25" t="s">
        <v>602</v>
      </c>
      <c r="F25" t="s">
        <v>729</v>
      </c>
      <c r="G25" t="s">
        <v>1161</v>
      </c>
      <c r="H25">
        <v>153.94999999999999</v>
      </c>
      <c r="I25">
        <v>19.049999999999997</v>
      </c>
      <c r="J25">
        <v>63145</v>
      </c>
    </row>
    <row r="26" spans="1:13" x14ac:dyDescent="0.25">
      <c r="A26">
        <v>2015</v>
      </c>
      <c r="B26" t="s">
        <v>48</v>
      </c>
      <c r="C26" t="s">
        <v>335</v>
      </c>
      <c r="D26" t="s">
        <v>334</v>
      </c>
      <c r="E26" t="s">
        <v>603</v>
      </c>
      <c r="F26" t="s">
        <v>730</v>
      </c>
      <c r="G26" t="s">
        <v>1161</v>
      </c>
      <c r="H26">
        <v>148.41</v>
      </c>
      <c r="I26">
        <v>14.03</v>
      </c>
      <c r="J26">
        <v>59290.6</v>
      </c>
    </row>
    <row r="27" spans="1:13" x14ac:dyDescent="0.25">
      <c r="A27">
        <v>2015</v>
      </c>
      <c r="B27" t="s">
        <v>48</v>
      </c>
      <c r="C27" t="s">
        <v>320</v>
      </c>
      <c r="D27" t="s">
        <v>319</v>
      </c>
      <c r="E27" t="s">
        <v>604</v>
      </c>
      <c r="F27" t="s">
        <v>731</v>
      </c>
      <c r="G27" t="s">
        <v>1161</v>
      </c>
      <c r="H27">
        <v>174.99</v>
      </c>
      <c r="I27">
        <v>19.049999999999997</v>
      </c>
      <c r="J27">
        <v>70824.600000000006</v>
      </c>
    </row>
    <row r="28" spans="1:13" x14ac:dyDescent="0.25">
      <c r="A28">
        <v>2015</v>
      </c>
      <c r="B28" t="s">
        <v>48</v>
      </c>
      <c r="C28" t="s">
        <v>194</v>
      </c>
      <c r="D28" t="s">
        <v>193</v>
      </c>
      <c r="E28" t="s">
        <v>605</v>
      </c>
      <c r="F28" t="s">
        <v>732</v>
      </c>
      <c r="G28" t="s">
        <v>1161</v>
      </c>
      <c r="H28">
        <v>160.44</v>
      </c>
      <c r="I28">
        <v>18.149999999999999</v>
      </c>
      <c r="J28">
        <v>65185.35</v>
      </c>
    </row>
    <row r="29" spans="1:13" x14ac:dyDescent="0.25">
      <c r="A29">
        <v>2015</v>
      </c>
      <c r="B29" t="s">
        <v>48</v>
      </c>
      <c r="C29" t="s">
        <v>346</v>
      </c>
      <c r="D29" t="s">
        <v>345</v>
      </c>
      <c r="E29" t="s">
        <v>606</v>
      </c>
      <c r="F29" t="s">
        <v>733</v>
      </c>
      <c r="G29" t="s">
        <v>1161</v>
      </c>
      <c r="H29">
        <v>187.5</v>
      </c>
      <c r="I29">
        <v>23.7</v>
      </c>
      <c r="J29">
        <v>77088</v>
      </c>
    </row>
    <row r="30" spans="1:13" x14ac:dyDescent="0.25">
      <c r="A30">
        <v>2015</v>
      </c>
      <c r="B30" t="s">
        <v>48</v>
      </c>
      <c r="C30" t="s">
        <v>154</v>
      </c>
      <c r="D30" t="s">
        <v>153</v>
      </c>
      <c r="E30" t="s">
        <v>607</v>
      </c>
      <c r="F30" t="s">
        <v>734</v>
      </c>
      <c r="G30" t="s">
        <v>1161</v>
      </c>
      <c r="H30">
        <v>217.79</v>
      </c>
      <c r="I30">
        <v>16.71</v>
      </c>
      <c r="J30">
        <v>85592.5</v>
      </c>
    </row>
    <row r="31" spans="1:13" x14ac:dyDescent="0.25">
      <c r="A31">
        <v>2015</v>
      </c>
      <c r="B31" t="s">
        <v>48</v>
      </c>
      <c r="C31" t="s">
        <v>243</v>
      </c>
      <c r="D31" t="s">
        <v>242</v>
      </c>
      <c r="E31" t="s">
        <v>608</v>
      </c>
      <c r="F31" t="s">
        <v>735</v>
      </c>
      <c r="G31" t="s">
        <v>1161</v>
      </c>
      <c r="H31">
        <v>245.5</v>
      </c>
      <c r="I31">
        <v>21.34</v>
      </c>
      <c r="J31">
        <v>97396.599999999991</v>
      </c>
    </row>
    <row r="32" spans="1:13" x14ac:dyDescent="0.25">
      <c r="A32">
        <v>2015</v>
      </c>
      <c r="B32" t="s">
        <v>48</v>
      </c>
      <c r="C32" t="s">
        <v>260</v>
      </c>
      <c r="D32" t="s">
        <v>259</v>
      </c>
      <c r="E32" t="s">
        <v>609</v>
      </c>
      <c r="F32" t="s">
        <v>697</v>
      </c>
      <c r="G32" t="s">
        <v>1161</v>
      </c>
      <c r="H32">
        <v>290.49</v>
      </c>
      <c r="I32">
        <v>18.729999999999997</v>
      </c>
      <c r="J32">
        <v>112865.3</v>
      </c>
    </row>
    <row r="33" spans="1:10" x14ac:dyDescent="0.25">
      <c r="A33">
        <v>2015</v>
      </c>
      <c r="B33" t="s">
        <v>48</v>
      </c>
      <c r="C33" t="s">
        <v>151</v>
      </c>
      <c r="D33" t="s">
        <v>150</v>
      </c>
      <c r="E33" t="s">
        <v>610</v>
      </c>
      <c r="F33" t="s">
        <v>698</v>
      </c>
      <c r="G33" t="s">
        <v>1161</v>
      </c>
      <c r="H33">
        <v>334</v>
      </c>
      <c r="I33">
        <v>26.09</v>
      </c>
      <c r="J33">
        <v>131432.84999999998</v>
      </c>
    </row>
    <row r="34" spans="1:10" x14ac:dyDescent="0.25">
      <c r="A34">
        <v>2015</v>
      </c>
      <c r="B34" t="s">
        <v>48</v>
      </c>
      <c r="C34" t="s">
        <v>175</v>
      </c>
      <c r="D34" t="s">
        <v>174</v>
      </c>
      <c r="E34" t="s">
        <v>611</v>
      </c>
      <c r="F34" t="s">
        <v>736</v>
      </c>
      <c r="G34" t="s">
        <v>1161</v>
      </c>
      <c r="H34">
        <v>66.45</v>
      </c>
      <c r="I34">
        <v>12.120000000000001</v>
      </c>
      <c r="J34">
        <v>28678.050000000003</v>
      </c>
    </row>
    <row r="35" spans="1:10" x14ac:dyDescent="0.25">
      <c r="A35">
        <v>2015</v>
      </c>
      <c r="B35" t="s">
        <v>48</v>
      </c>
      <c r="C35" t="s">
        <v>277</v>
      </c>
      <c r="D35" t="s">
        <v>276</v>
      </c>
      <c r="E35" t="s">
        <v>612</v>
      </c>
      <c r="F35" t="s">
        <v>737</v>
      </c>
      <c r="G35" t="s">
        <v>1161</v>
      </c>
      <c r="H35">
        <v>101.93</v>
      </c>
      <c r="I35">
        <v>16.100000000000001</v>
      </c>
      <c r="J35">
        <v>43080.95</v>
      </c>
    </row>
    <row r="36" spans="1:10" x14ac:dyDescent="0.25">
      <c r="A36">
        <v>2015</v>
      </c>
      <c r="B36" t="s">
        <v>48</v>
      </c>
      <c r="C36" t="s">
        <v>67</v>
      </c>
      <c r="D36" t="s">
        <v>66</v>
      </c>
      <c r="E36" t="s">
        <v>613</v>
      </c>
      <c r="F36" t="s">
        <v>740</v>
      </c>
      <c r="G36" t="s">
        <v>1161</v>
      </c>
      <c r="H36">
        <v>83.58</v>
      </c>
      <c r="I36">
        <v>12.120000000000001</v>
      </c>
      <c r="J36">
        <v>34930.5</v>
      </c>
    </row>
    <row r="37" spans="1:10" x14ac:dyDescent="0.25">
      <c r="A37">
        <v>2015</v>
      </c>
      <c r="B37" t="s">
        <v>48</v>
      </c>
      <c r="C37" t="s">
        <v>149</v>
      </c>
      <c r="D37" t="s">
        <v>148</v>
      </c>
      <c r="E37" t="s">
        <v>614</v>
      </c>
      <c r="F37" t="s">
        <v>741</v>
      </c>
      <c r="G37" t="s">
        <v>1161</v>
      </c>
      <c r="H37">
        <v>119.07</v>
      </c>
      <c r="I37">
        <v>16.100000000000001</v>
      </c>
      <c r="J37">
        <v>49337.049999999996</v>
      </c>
    </row>
    <row r="38" spans="1:10" x14ac:dyDescent="0.25">
      <c r="A38">
        <v>2015</v>
      </c>
      <c r="B38" t="s">
        <v>48</v>
      </c>
      <c r="C38" t="s">
        <v>109</v>
      </c>
      <c r="D38" t="s">
        <v>108</v>
      </c>
      <c r="E38" t="s">
        <v>615</v>
      </c>
      <c r="F38" t="s">
        <v>756</v>
      </c>
      <c r="G38" t="s">
        <v>1161</v>
      </c>
      <c r="H38">
        <v>98.09</v>
      </c>
      <c r="I38">
        <v>12.120000000000001</v>
      </c>
      <c r="J38">
        <v>40226.65</v>
      </c>
    </row>
    <row r="39" spans="1:10" x14ac:dyDescent="0.25">
      <c r="A39">
        <v>2015</v>
      </c>
      <c r="B39" t="s">
        <v>48</v>
      </c>
      <c r="C39" t="s">
        <v>75</v>
      </c>
      <c r="D39" t="s">
        <v>74</v>
      </c>
      <c r="E39" t="s">
        <v>616</v>
      </c>
      <c r="F39" t="s">
        <v>757</v>
      </c>
      <c r="G39" t="s">
        <v>1161</v>
      </c>
      <c r="H39">
        <v>133.57</v>
      </c>
      <c r="I39">
        <v>16.100000000000001</v>
      </c>
      <c r="J39">
        <v>54629.549999999996</v>
      </c>
    </row>
    <row r="40" spans="1:10" x14ac:dyDescent="0.25">
      <c r="A40">
        <v>2015</v>
      </c>
      <c r="B40" t="s">
        <v>48</v>
      </c>
      <c r="C40" t="s">
        <v>313</v>
      </c>
      <c r="D40" t="s">
        <v>312</v>
      </c>
      <c r="E40" t="s">
        <v>617</v>
      </c>
      <c r="F40" t="s">
        <v>758</v>
      </c>
      <c r="G40" t="s">
        <v>1161</v>
      </c>
      <c r="H40">
        <v>113.99</v>
      </c>
      <c r="I40">
        <v>12.7</v>
      </c>
      <c r="J40">
        <v>46241.85</v>
      </c>
    </row>
    <row r="41" spans="1:10" x14ac:dyDescent="0.25">
      <c r="A41">
        <v>2015</v>
      </c>
      <c r="B41" t="s">
        <v>48</v>
      </c>
      <c r="C41" t="s">
        <v>115</v>
      </c>
      <c r="D41" t="s">
        <v>114</v>
      </c>
      <c r="E41" t="s">
        <v>618</v>
      </c>
      <c r="F41" t="s">
        <v>759</v>
      </c>
      <c r="G41" t="s">
        <v>1161</v>
      </c>
      <c r="H41">
        <v>149.47999999999999</v>
      </c>
      <c r="I41">
        <v>16.690000000000001</v>
      </c>
      <c r="J41">
        <v>60652.049999999996</v>
      </c>
    </row>
    <row r="42" spans="1:10" x14ac:dyDescent="0.25">
      <c r="A42">
        <v>2015</v>
      </c>
      <c r="B42" t="s">
        <v>48</v>
      </c>
      <c r="C42" t="s">
        <v>192</v>
      </c>
      <c r="D42" t="s">
        <v>191</v>
      </c>
      <c r="E42" t="s">
        <v>619</v>
      </c>
      <c r="F42" t="s">
        <v>765</v>
      </c>
      <c r="G42" t="s">
        <v>1161</v>
      </c>
      <c r="H42">
        <v>111.4</v>
      </c>
      <c r="I42">
        <v>12.120000000000001</v>
      </c>
      <c r="J42">
        <v>45084.800000000003</v>
      </c>
    </row>
    <row r="43" spans="1:10" x14ac:dyDescent="0.25">
      <c r="A43">
        <v>2015</v>
      </c>
      <c r="B43" t="s">
        <v>48</v>
      </c>
      <c r="C43" t="s">
        <v>83</v>
      </c>
      <c r="D43" t="s">
        <v>82</v>
      </c>
      <c r="E43" t="s">
        <v>620</v>
      </c>
      <c r="F43" t="s">
        <v>766</v>
      </c>
      <c r="G43" t="s">
        <v>1161</v>
      </c>
      <c r="H43">
        <v>146.91</v>
      </c>
      <c r="I43">
        <v>16.100000000000001</v>
      </c>
      <c r="J43">
        <v>59498.649999999994</v>
      </c>
    </row>
    <row r="44" spans="1:10" x14ac:dyDescent="0.25">
      <c r="A44">
        <v>2015</v>
      </c>
      <c r="B44" t="s">
        <v>48</v>
      </c>
      <c r="C44" t="s">
        <v>185</v>
      </c>
      <c r="D44" t="s">
        <v>184</v>
      </c>
      <c r="E44" t="s">
        <v>621</v>
      </c>
      <c r="F44" t="s">
        <v>767</v>
      </c>
      <c r="G44" t="s">
        <v>1161</v>
      </c>
      <c r="H44">
        <v>129.01</v>
      </c>
      <c r="I44">
        <v>12.7</v>
      </c>
      <c r="J44">
        <v>51724.149999999994</v>
      </c>
    </row>
    <row r="45" spans="1:10" x14ac:dyDescent="0.25">
      <c r="A45">
        <v>2015</v>
      </c>
      <c r="B45" t="s">
        <v>48</v>
      </c>
      <c r="C45" t="s">
        <v>363</v>
      </c>
      <c r="D45" t="s">
        <v>362</v>
      </c>
      <c r="E45" t="s">
        <v>622</v>
      </c>
      <c r="F45" t="s">
        <v>768</v>
      </c>
      <c r="G45" t="s">
        <v>1161</v>
      </c>
      <c r="H45">
        <v>164.5</v>
      </c>
      <c r="I45">
        <v>16.690000000000001</v>
      </c>
      <c r="J45">
        <v>66134.350000000006</v>
      </c>
    </row>
    <row r="46" spans="1:10" x14ac:dyDescent="0.25">
      <c r="A46">
        <v>2015</v>
      </c>
      <c r="B46" t="s">
        <v>48</v>
      </c>
      <c r="C46" t="s">
        <v>280</v>
      </c>
      <c r="D46" t="s">
        <v>279</v>
      </c>
      <c r="E46" t="s">
        <v>623</v>
      </c>
      <c r="F46" t="s">
        <v>773</v>
      </c>
      <c r="G46" t="s">
        <v>1161</v>
      </c>
      <c r="H46">
        <v>134.44</v>
      </c>
      <c r="I46">
        <v>13.030000000000001</v>
      </c>
      <c r="J46">
        <v>53826.55</v>
      </c>
    </row>
    <row r="47" spans="1:10" x14ac:dyDescent="0.25">
      <c r="A47">
        <v>2015</v>
      </c>
      <c r="B47" t="s">
        <v>48</v>
      </c>
      <c r="C47" t="s">
        <v>170</v>
      </c>
      <c r="D47" t="s">
        <v>169</v>
      </c>
      <c r="E47" t="s">
        <v>624</v>
      </c>
      <c r="F47" t="s">
        <v>774</v>
      </c>
      <c r="G47" t="s">
        <v>1161</v>
      </c>
      <c r="H47">
        <v>183</v>
      </c>
      <c r="I47">
        <v>17.62</v>
      </c>
      <c r="J47">
        <v>73226.3</v>
      </c>
    </row>
    <row r="48" spans="1:10" x14ac:dyDescent="0.25">
      <c r="A48">
        <v>2015</v>
      </c>
      <c r="B48" t="s">
        <v>48</v>
      </c>
      <c r="C48" t="s">
        <v>226</v>
      </c>
      <c r="D48" t="s">
        <v>225</v>
      </c>
      <c r="E48" t="s">
        <v>625</v>
      </c>
      <c r="F48" t="s">
        <v>775</v>
      </c>
      <c r="G48" t="s">
        <v>1161</v>
      </c>
      <c r="H48">
        <v>157</v>
      </c>
      <c r="I48">
        <v>16.2</v>
      </c>
      <c r="J48">
        <v>63217.999999999993</v>
      </c>
    </row>
    <row r="49" spans="1:10" x14ac:dyDescent="0.25">
      <c r="A49">
        <v>2015</v>
      </c>
      <c r="B49" t="s">
        <v>48</v>
      </c>
      <c r="C49" t="s">
        <v>73</v>
      </c>
      <c r="D49" t="s">
        <v>72</v>
      </c>
      <c r="E49" t="s">
        <v>626</v>
      </c>
      <c r="F49" t="s">
        <v>776</v>
      </c>
      <c r="G49" t="s">
        <v>1161</v>
      </c>
      <c r="H49">
        <v>205.56</v>
      </c>
      <c r="I49">
        <v>20.79</v>
      </c>
      <c r="J49">
        <v>82617.75</v>
      </c>
    </row>
    <row r="50" spans="1:10" x14ac:dyDescent="0.25">
      <c r="A50">
        <v>2015</v>
      </c>
      <c r="B50" t="s">
        <v>48</v>
      </c>
      <c r="C50" t="s">
        <v>368</v>
      </c>
      <c r="D50" t="s">
        <v>367</v>
      </c>
      <c r="E50" t="s">
        <v>627</v>
      </c>
      <c r="F50" t="s">
        <v>782</v>
      </c>
      <c r="G50" t="s">
        <v>1161</v>
      </c>
      <c r="H50">
        <v>127.45</v>
      </c>
      <c r="I50">
        <v>12.040000000000001</v>
      </c>
      <c r="J50">
        <v>50913.850000000006</v>
      </c>
    </row>
    <row r="51" spans="1:10" x14ac:dyDescent="0.25">
      <c r="A51">
        <v>2015</v>
      </c>
      <c r="B51" t="s">
        <v>48</v>
      </c>
      <c r="C51" t="s">
        <v>50</v>
      </c>
      <c r="D51" t="s">
        <v>49</v>
      </c>
      <c r="E51" t="s">
        <v>628</v>
      </c>
      <c r="F51" t="s">
        <v>783</v>
      </c>
      <c r="G51" t="s">
        <v>1161</v>
      </c>
      <c r="H51">
        <v>175.98</v>
      </c>
      <c r="I51">
        <v>16.61</v>
      </c>
      <c r="J51">
        <v>70295.349999999991</v>
      </c>
    </row>
    <row r="52" spans="1:10" x14ac:dyDescent="0.25">
      <c r="A52">
        <v>2015</v>
      </c>
      <c r="B52" t="s">
        <v>48</v>
      </c>
      <c r="C52" t="s">
        <v>91</v>
      </c>
      <c r="D52" t="s">
        <v>90</v>
      </c>
      <c r="E52" t="s">
        <v>629</v>
      </c>
      <c r="F52" t="s">
        <v>784</v>
      </c>
      <c r="G52" t="s">
        <v>1161</v>
      </c>
      <c r="H52">
        <v>150.9</v>
      </c>
      <c r="I52">
        <v>15.16</v>
      </c>
      <c r="J52">
        <v>60611.9</v>
      </c>
    </row>
    <row r="53" spans="1:10" x14ac:dyDescent="0.25">
      <c r="A53">
        <v>2015</v>
      </c>
      <c r="B53" t="s">
        <v>48</v>
      </c>
      <c r="C53" t="s">
        <v>60</v>
      </c>
      <c r="D53" t="s">
        <v>59</v>
      </c>
      <c r="E53" t="s">
        <v>630</v>
      </c>
      <c r="F53" t="s">
        <v>785</v>
      </c>
      <c r="G53" t="s">
        <v>1161</v>
      </c>
      <c r="H53">
        <v>199.45</v>
      </c>
      <c r="I53">
        <v>19.73</v>
      </c>
      <c r="J53">
        <v>80000.7</v>
      </c>
    </row>
    <row r="54" spans="1:10" x14ac:dyDescent="0.25">
      <c r="A54">
        <v>2015</v>
      </c>
      <c r="B54" t="s">
        <v>48</v>
      </c>
      <c r="C54" t="s">
        <v>81</v>
      </c>
      <c r="D54" t="s">
        <v>80</v>
      </c>
      <c r="E54" t="s">
        <v>631</v>
      </c>
      <c r="F54" t="s">
        <v>791</v>
      </c>
      <c r="G54" t="s">
        <v>1161</v>
      </c>
      <c r="H54">
        <v>165.45</v>
      </c>
      <c r="I54">
        <v>13.030000000000001</v>
      </c>
      <c r="J54">
        <v>65145.2</v>
      </c>
    </row>
    <row r="55" spans="1:10" x14ac:dyDescent="0.25">
      <c r="A55">
        <v>2015</v>
      </c>
      <c r="B55" t="s">
        <v>48</v>
      </c>
      <c r="C55" t="s">
        <v>120</v>
      </c>
      <c r="D55" t="s">
        <v>119</v>
      </c>
      <c r="E55" t="s">
        <v>632</v>
      </c>
      <c r="F55" t="s">
        <v>792</v>
      </c>
      <c r="G55" t="s">
        <v>1161</v>
      </c>
      <c r="H55">
        <v>247.54</v>
      </c>
      <c r="I55">
        <v>17.62</v>
      </c>
      <c r="J55">
        <v>96783.4</v>
      </c>
    </row>
    <row r="56" spans="1:10" x14ac:dyDescent="0.25">
      <c r="A56">
        <v>2015</v>
      </c>
      <c r="B56" t="s">
        <v>48</v>
      </c>
      <c r="C56" t="s">
        <v>382</v>
      </c>
      <c r="D56" t="s">
        <v>381</v>
      </c>
      <c r="E56" t="s">
        <v>633</v>
      </c>
      <c r="F56" t="s">
        <v>793</v>
      </c>
      <c r="G56" t="s">
        <v>1161</v>
      </c>
      <c r="H56">
        <v>194</v>
      </c>
      <c r="I56">
        <v>16.2</v>
      </c>
      <c r="J56">
        <v>76723</v>
      </c>
    </row>
    <row r="57" spans="1:10" x14ac:dyDescent="0.25">
      <c r="A57">
        <v>2015</v>
      </c>
      <c r="B57" t="s">
        <v>48</v>
      </c>
      <c r="C57" t="s">
        <v>161</v>
      </c>
      <c r="D57" t="s">
        <v>160</v>
      </c>
      <c r="E57" t="s">
        <v>634</v>
      </c>
      <c r="F57" t="s">
        <v>794</v>
      </c>
      <c r="G57" t="s">
        <v>1161</v>
      </c>
      <c r="H57">
        <v>276.08</v>
      </c>
      <c r="I57">
        <v>20.79</v>
      </c>
      <c r="J57">
        <v>108357.55</v>
      </c>
    </row>
    <row r="58" spans="1:10" x14ac:dyDescent="0.25">
      <c r="A58">
        <v>2015</v>
      </c>
      <c r="B58" t="s">
        <v>48</v>
      </c>
      <c r="C58" t="s">
        <v>237</v>
      </c>
      <c r="D58" t="s">
        <v>236</v>
      </c>
      <c r="E58" t="s">
        <v>635</v>
      </c>
      <c r="F58" t="s">
        <v>800</v>
      </c>
      <c r="G58" t="s">
        <v>1161</v>
      </c>
      <c r="H58">
        <v>160.71</v>
      </c>
      <c r="I58">
        <v>16.7</v>
      </c>
      <c r="J58">
        <v>64754.65</v>
      </c>
    </row>
    <row r="59" spans="1:10" x14ac:dyDescent="0.25">
      <c r="A59">
        <v>2015</v>
      </c>
      <c r="B59" t="s">
        <v>48</v>
      </c>
      <c r="C59" t="s">
        <v>199</v>
      </c>
      <c r="D59" t="s">
        <v>198</v>
      </c>
      <c r="E59" t="s">
        <v>636</v>
      </c>
      <c r="F59" t="s">
        <v>801</v>
      </c>
      <c r="G59" t="s">
        <v>1161</v>
      </c>
      <c r="H59">
        <v>209.27</v>
      </c>
      <c r="I59">
        <v>22.18</v>
      </c>
      <c r="J59">
        <v>84479.25</v>
      </c>
    </row>
    <row r="60" spans="1:10" x14ac:dyDescent="0.25">
      <c r="A60">
        <v>2015</v>
      </c>
      <c r="B60" t="s">
        <v>48</v>
      </c>
      <c r="C60" t="s">
        <v>122</v>
      </c>
      <c r="D60" t="s">
        <v>121</v>
      </c>
      <c r="E60" t="s">
        <v>637</v>
      </c>
      <c r="F60" t="s">
        <v>802</v>
      </c>
      <c r="G60" t="s">
        <v>1161</v>
      </c>
      <c r="H60">
        <v>183.26</v>
      </c>
      <c r="I60">
        <v>19.860000000000003</v>
      </c>
      <c r="J60">
        <v>74138.8</v>
      </c>
    </row>
    <row r="61" spans="1:10" x14ac:dyDescent="0.25">
      <c r="A61">
        <v>2015</v>
      </c>
      <c r="B61" t="s">
        <v>48</v>
      </c>
      <c r="C61" t="s">
        <v>111</v>
      </c>
      <c r="D61" t="s">
        <v>110</v>
      </c>
      <c r="E61" t="s">
        <v>638</v>
      </c>
      <c r="F61" t="s">
        <v>803</v>
      </c>
      <c r="G61" t="s">
        <v>1161</v>
      </c>
      <c r="H61">
        <v>231.81</v>
      </c>
      <c r="I61">
        <v>25.35</v>
      </c>
      <c r="J61">
        <v>93863.400000000009</v>
      </c>
    </row>
    <row r="62" spans="1:10" x14ac:dyDescent="0.25">
      <c r="A62">
        <v>2015</v>
      </c>
      <c r="B62" t="s">
        <v>48</v>
      </c>
      <c r="C62" t="s">
        <v>132</v>
      </c>
      <c r="D62" t="s">
        <v>131</v>
      </c>
      <c r="E62" t="s">
        <v>639</v>
      </c>
      <c r="F62" t="s">
        <v>744</v>
      </c>
      <c r="G62" t="s">
        <v>1161</v>
      </c>
      <c r="H62">
        <v>140.71</v>
      </c>
      <c r="I62">
        <v>16.690000000000001</v>
      </c>
      <c r="J62">
        <v>57451</v>
      </c>
    </row>
    <row r="63" spans="1:10" x14ac:dyDescent="0.25">
      <c r="A63">
        <v>2015</v>
      </c>
      <c r="B63" t="s">
        <v>48</v>
      </c>
      <c r="C63" t="s">
        <v>388</v>
      </c>
      <c r="D63" t="s">
        <v>387</v>
      </c>
      <c r="E63" t="s">
        <v>640</v>
      </c>
      <c r="F63" t="s">
        <v>747</v>
      </c>
      <c r="G63" t="s">
        <v>1161</v>
      </c>
      <c r="H63">
        <v>181.3</v>
      </c>
      <c r="I63">
        <v>16.690000000000001</v>
      </c>
      <c r="J63">
        <v>72266.350000000006</v>
      </c>
    </row>
    <row r="64" spans="1:10" x14ac:dyDescent="0.25">
      <c r="A64">
        <v>2015</v>
      </c>
      <c r="B64" t="s">
        <v>48</v>
      </c>
      <c r="C64" t="s">
        <v>145</v>
      </c>
      <c r="D64" t="s">
        <v>144</v>
      </c>
      <c r="E64" t="s">
        <v>641</v>
      </c>
      <c r="F64" t="s">
        <v>749</v>
      </c>
      <c r="G64" t="s">
        <v>1161</v>
      </c>
      <c r="H64">
        <v>223.71</v>
      </c>
      <c r="I64">
        <v>22.66</v>
      </c>
      <c r="J64">
        <v>89925.05</v>
      </c>
    </row>
    <row r="65" spans="1:10" x14ac:dyDescent="0.25">
      <c r="A65">
        <v>2015</v>
      </c>
      <c r="B65" t="s">
        <v>48</v>
      </c>
      <c r="C65" t="s">
        <v>333</v>
      </c>
      <c r="D65" t="s">
        <v>332</v>
      </c>
      <c r="E65" t="s">
        <v>642</v>
      </c>
      <c r="F65" t="s">
        <v>751</v>
      </c>
      <c r="G65" t="s">
        <v>1161</v>
      </c>
      <c r="H65">
        <v>263.13</v>
      </c>
      <c r="I65">
        <v>22.66</v>
      </c>
      <c r="J65">
        <v>104313.35</v>
      </c>
    </row>
    <row r="66" spans="1:10" x14ac:dyDescent="0.25">
      <c r="A66">
        <v>2015</v>
      </c>
      <c r="B66" t="s">
        <v>48</v>
      </c>
      <c r="C66" t="s">
        <v>354</v>
      </c>
      <c r="D66" t="s">
        <v>353</v>
      </c>
      <c r="E66" t="s">
        <v>643</v>
      </c>
      <c r="F66" t="s">
        <v>753</v>
      </c>
      <c r="G66" t="s">
        <v>1161</v>
      </c>
      <c r="H66">
        <v>261.93</v>
      </c>
      <c r="I66">
        <v>22.66</v>
      </c>
      <c r="J66">
        <v>103875.35</v>
      </c>
    </row>
    <row r="67" spans="1:10" x14ac:dyDescent="0.25">
      <c r="A67">
        <v>2015</v>
      </c>
      <c r="B67" t="s">
        <v>48</v>
      </c>
      <c r="C67" t="s">
        <v>564</v>
      </c>
      <c r="D67" t="s">
        <v>563</v>
      </c>
      <c r="E67" t="s">
        <v>644</v>
      </c>
      <c r="F67" t="s">
        <v>755</v>
      </c>
      <c r="G67" t="s">
        <v>1161</v>
      </c>
      <c r="H67">
        <v>340.98</v>
      </c>
      <c r="I67">
        <v>23.72</v>
      </c>
      <c r="J67">
        <v>133115.50000000003</v>
      </c>
    </row>
    <row r="68" spans="1:10" x14ac:dyDescent="0.25">
      <c r="A68">
        <v>2015</v>
      </c>
      <c r="B68" t="s">
        <v>48</v>
      </c>
      <c r="C68" t="s">
        <v>133</v>
      </c>
      <c r="D68" t="s">
        <v>808</v>
      </c>
      <c r="E68" t="s">
        <v>809</v>
      </c>
      <c r="F68" t="s">
        <v>810</v>
      </c>
      <c r="G68" t="s">
        <v>1161</v>
      </c>
      <c r="H68">
        <v>89.48</v>
      </c>
      <c r="I68">
        <v>12.4</v>
      </c>
      <c r="J68">
        <v>37186.200000000004</v>
      </c>
    </row>
    <row r="69" spans="1:10" x14ac:dyDescent="0.25">
      <c r="A69">
        <v>2015</v>
      </c>
      <c r="B69" t="s">
        <v>48</v>
      </c>
      <c r="C69" t="s">
        <v>207</v>
      </c>
      <c r="D69" t="s">
        <v>811</v>
      </c>
      <c r="E69" t="s">
        <v>812</v>
      </c>
      <c r="F69" t="s">
        <v>813</v>
      </c>
      <c r="G69" t="s">
        <v>1161</v>
      </c>
      <c r="H69">
        <v>133.26</v>
      </c>
      <c r="I69">
        <v>16.600000000000001</v>
      </c>
      <c r="J69">
        <v>54698.899999999994</v>
      </c>
    </row>
    <row r="70" spans="1:10" x14ac:dyDescent="0.25">
      <c r="A70">
        <v>2015</v>
      </c>
      <c r="B70" t="s">
        <v>48</v>
      </c>
      <c r="C70" t="s">
        <v>338</v>
      </c>
      <c r="D70" t="s">
        <v>820</v>
      </c>
      <c r="E70" t="s">
        <v>821</v>
      </c>
      <c r="F70" t="s">
        <v>1162</v>
      </c>
      <c r="G70" t="s">
        <v>1161</v>
      </c>
      <c r="H70">
        <v>118.87</v>
      </c>
      <c r="I70">
        <v>12.4</v>
      </c>
      <c r="J70">
        <v>47913.55</v>
      </c>
    </row>
    <row r="71" spans="1:10" x14ac:dyDescent="0.25">
      <c r="A71">
        <v>2015</v>
      </c>
      <c r="B71" t="s">
        <v>48</v>
      </c>
      <c r="C71" t="s">
        <v>116</v>
      </c>
      <c r="D71" t="s">
        <v>823</v>
      </c>
      <c r="E71" t="s">
        <v>824</v>
      </c>
      <c r="F71" t="s">
        <v>1163</v>
      </c>
      <c r="G71" t="s">
        <v>1161</v>
      </c>
      <c r="H71">
        <v>158.74</v>
      </c>
      <c r="I71">
        <v>16.600000000000001</v>
      </c>
      <c r="J71">
        <v>63999.1</v>
      </c>
    </row>
    <row r="72" spans="1:10" x14ac:dyDescent="0.25">
      <c r="A72">
        <v>2015</v>
      </c>
      <c r="B72" t="s">
        <v>48</v>
      </c>
      <c r="C72" t="s">
        <v>76</v>
      </c>
      <c r="D72" t="s">
        <v>832</v>
      </c>
      <c r="E72" t="s">
        <v>833</v>
      </c>
      <c r="F72" t="s">
        <v>834</v>
      </c>
      <c r="G72" t="s">
        <v>1161</v>
      </c>
      <c r="H72">
        <v>104.18</v>
      </c>
      <c r="I72">
        <v>12.4</v>
      </c>
      <c r="J72">
        <v>42551.700000000004</v>
      </c>
    </row>
    <row r="73" spans="1:10" x14ac:dyDescent="0.25">
      <c r="A73">
        <v>2015</v>
      </c>
      <c r="B73" t="s">
        <v>48</v>
      </c>
      <c r="C73" t="s">
        <v>159</v>
      </c>
      <c r="D73" t="s">
        <v>835</v>
      </c>
      <c r="E73" t="s">
        <v>836</v>
      </c>
      <c r="F73" t="s">
        <v>837</v>
      </c>
      <c r="G73" t="s">
        <v>1161</v>
      </c>
      <c r="H73">
        <v>147.96</v>
      </c>
      <c r="I73">
        <v>16.600000000000001</v>
      </c>
      <c r="J73">
        <v>60064.4</v>
      </c>
    </row>
    <row r="74" spans="1:10" x14ac:dyDescent="0.25">
      <c r="A74">
        <v>2015</v>
      </c>
      <c r="B74" t="s">
        <v>48</v>
      </c>
      <c r="C74" t="s">
        <v>331</v>
      </c>
      <c r="D74" t="s">
        <v>838</v>
      </c>
      <c r="E74" t="s">
        <v>839</v>
      </c>
      <c r="F74" t="s">
        <v>840</v>
      </c>
      <c r="G74" t="s">
        <v>1161</v>
      </c>
      <c r="H74">
        <v>135.22</v>
      </c>
      <c r="I74">
        <v>13.040000000000001</v>
      </c>
      <c r="J74">
        <v>54114.899999999994</v>
      </c>
    </row>
    <row r="75" spans="1:10" x14ac:dyDescent="0.25">
      <c r="A75">
        <v>2015</v>
      </c>
      <c r="B75" t="s">
        <v>48</v>
      </c>
      <c r="C75" t="s">
        <v>140</v>
      </c>
      <c r="D75" t="s">
        <v>841</v>
      </c>
      <c r="E75" t="s">
        <v>842</v>
      </c>
      <c r="F75" t="s">
        <v>843</v>
      </c>
      <c r="G75" t="s">
        <v>1161</v>
      </c>
      <c r="H75">
        <v>179.02</v>
      </c>
      <c r="I75">
        <v>17.25</v>
      </c>
      <c r="J75">
        <v>71638.55</v>
      </c>
    </row>
    <row r="76" spans="1:10" x14ac:dyDescent="0.25">
      <c r="A76">
        <v>2015</v>
      </c>
      <c r="B76" t="s">
        <v>48</v>
      </c>
      <c r="C76" t="s">
        <v>204</v>
      </c>
      <c r="D76" t="s">
        <v>856</v>
      </c>
      <c r="E76" t="s">
        <v>857</v>
      </c>
      <c r="F76" t="s">
        <v>858</v>
      </c>
      <c r="G76" t="s">
        <v>1161</v>
      </c>
      <c r="H76">
        <v>120.74</v>
      </c>
      <c r="I76">
        <v>12.4</v>
      </c>
      <c r="J76">
        <v>48596.1</v>
      </c>
    </row>
    <row r="77" spans="1:10" x14ac:dyDescent="0.25">
      <c r="A77">
        <v>2015</v>
      </c>
      <c r="B77" t="s">
        <v>48</v>
      </c>
      <c r="C77" t="s">
        <v>100</v>
      </c>
      <c r="D77" t="s">
        <v>859</v>
      </c>
      <c r="E77" t="s">
        <v>860</v>
      </c>
      <c r="F77" t="s">
        <v>861</v>
      </c>
      <c r="G77" t="s">
        <v>1161</v>
      </c>
      <c r="H77">
        <v>160.6</v>
      </c>
      <c r="I77">
        <v>16.600000000000001</v>
      </c>
      <c r="J77">
        <v>64677.999999999993</v>
      </c>
    </row>
    <row r="78" spans="1:10" x14ac:dyDescent="0.25">
      <c r="A78">
        <v>2015</v>
      </c>
      <c r="B78" t="s">
        <v>48</v>
      </c>
      <c r="C78" t="s">
        <v>118</v>
      </c>
      <c r="D78" t="s">
        <v>862</v>
      </c>
      <c r="E78" t="s">
        <v>863</v>
      </c>
      <c r="F78" t="s">
        <v>864</v>
      </c>
      <c r="G78" t="s">
        <v>1161</v>
      </c>
      <c r="H78">
        <v>152.31</v>
      </c>
      <c r="I78">
        <v>13.040000000000001</v>
      </c>
      <c r="J78">
        <v>60352.75</v>
      </c>
    </row>
    <row r="79" spans="1:10" x14ac:dyDescent="0.25">
      <c r="A79">
        <v>2015</v>
      </c>
      <c r="B79" t="s">
        <v>48</v>
      </c>
      <c r="C79" t="s">
        <v>316</v>
      </c>
      <c r="D79" t="s">
        <v>865</v>
      </c>
      <c r="E79" t="s">
        <v>866</v>
      </c>
      <c r="F79" t="s">
        <v>867</v>
      </c>
      <c r="G79" t="s">
        <v>1161</v>
      </c>
      <c r="H79">
        <v>192.17</v>
      </c>
      <c r="I79">
        <v>17.25</v>
      </c>
      <c r="J79">
        <v>76438.299999999988</v>
      </c>
    </row>
    <row r="80" spans="1:10" x14ac:dyDescent="0.25">
      <c r="A80">
        <v>2015</v>
      </c>
      <c r="B80" t="s">
        <v>48</v>
      </c>
      <c r="C80" t="s">
        <v>355</v>
      </c>
      <c r="D80" t="s">
        <v>881</v>
      </c>
      <c r="E80" t="s">
        <v>882</v>
      </c>
      <c r="F80" t="s">
        <v>883</v>
      </c>
      <c r="G80" t="s">
        <v>1161</v>
      </c>
      <c r="H80">
        <v>143.06</v>
      </c>
      <c r="I80">
        <v>13.920000000000002</v>
      </c>
      <c r="J80">
        <v>57297.700000000004</v>
      </c>
    </row>
    <row r="81" spans="1:10" x14ac:dyDescent="0.25">
      <c r="A81">
        <v>2015</v>
      </c>
      <c r="B81" t="s">
        <v>48</v>
      </c>
      <c r="C81" t="s">
        <v>152</v>
      </c>
      <c r="D81" t="s">
        <v>884</v>
      </c>
      <c r="E81" t="s">
        <v>885</v>
      </c>
      <c r="F81" t="s">
        <v>886</v>
      </c>
      <c r="G81" t="s">
        <v>1161</v>
      </c>
      <c r="H81">
        <v>186.85</v>
      </c>
      <c r="I81">
        <v>18.510000000000002</v>
      </c>
      <c r="J81">
        <v>74956.399999999994</v>
      </c>
    </row>
    <row r="82" spans="1:10" x14ac:dyDescent="0.25">
      <c r="A82">
        <v>2015</v>
      </c>
      <c r="B82" t="s">
        <v>48</v>
      </c>
      <c r="C82" t="s">
        <v>357</v>
      </c>
      <c r="D82" t="s">
        <v>887</v>
      </c>
      <c r="E82" t="s">
        <v>888</v>
      </c>
      <c r="F82" t="s">
        <v>889</v>
      </c>
      <c r="G82" t="s">
        <v>1161</v>
      </c>
      <c r="H82">
        <v>179.5</v>
      </c>
      <c r="I82">
        <v>17.09</v>
      </c>
      <c r="J82">
        <v>71755.350000000006</v>
      </c>
    </row>
    <row r="83" spans="1:10" x14ac:dyDescent="0.25">
      <c r="A83">
        <v>2015</v>
      </c>
      <c r="B83" t="s">
        <v>48</v>
      </c>
      <c r="C83" t="s">
        <v>84</v>
      </c>
      <c r="D83" t="s">
        <v>890</v>
      </c>
      <c r="E83" t="s">
        <v>891</v>
      </c>
      <c r="F83" t="s">
        <v>892</v>
      </c>
      <c r="G83" t="s">
        <v>1161</v>
      </c>
      <c r="H83">
        <v>223.28</v>
      </c>
      <c r="I83">
        <v>21.68</v>
      </c>
      <c r="J83">
        <v>89410.400000000009</v>
      </c>
    </row>
    <row r="84" spans="1:10" x14ac:dyDescent="0.25">
      <c r="A84">
        <v>2015</v>
      </c>
      <c r="B84" t="s">
        <v>48</v>
      </c>
      <c r="C84" t="s">
        <v>180</v>
      </c>
      <c r="D84" t="s">
        <v>906</v>
      </c>
      <c r="E84" t="s">
        <v>907</v>
      </c>
      <c r="F84" t="s">
        <v>908</v>
      </c>
      <c r="G84" t="s">
        <v>1161</v>
      </c>
      <c r="H84">
        <v>157.16999999999999</v>
      </c>
      <c r="I84">
        <v>16.34</v>
      </c>
      <c r="J84">
        <v>63331.149999999994</v>
      </c>
    </row>
    <row r="85" spans="1:10" x14ac:dyDescent="0.25">
      <c r="A85">
        <v>2015</v>
      </c>
      <c r="B85" t="s">
        <v>48</v>
      </c>
      <c r="C85" t="s">
        <v>51</v>
      </c>
      <c r="D85" t="s">
        <v>909</v>
      </c>
      <c r="E85" t="s">
        <v>910</v>
      </c>
      <c r="F85" t="s">
        <v>911</v>
      </c>
      <c r="G85" t="s">
        <v>1161</v>
      </c>
      <c r="H85">
        <v>197.04</v>
      </c>
      <c r="I85">
        <v>21.82</v>
      </c>
      <c r="J85">
        <v>79883.899999999994</v>
      </c>
    </row>
    <row r="86" spans="1:10" x14ac:dyDescent="0.25">
      <c r="A86">
        <v>2015</v>
      </c>
      <c r="B86" t="s">
        <v>48</v>
      </c>
      <c r="C86" t="s">
        <v>358</v>
      </c>
      <c r="D86" t="s">
        <v>912</v>
      </c>
      <c r="E86" t="s">
        <v>913</v>
      </c>
      <c r="F86" t="s">
        <v>914</v>
      </c>
      <c r="G86" t="s">
        <v>1161</v>
      </c>
      <c r="H86">
        <v>198.83</v>
      </c>
      <c r="I86">
        <v>19.510000000000002</v>
      </c>
      <c r="J86">
        <v>79694.100000000006</v>
      </c>
    </row>
    <row r="87" spans="1:10" x14ac:dyDescent="0.25">
      <c r="A87">
        <v>2015</v>
      </c>
      <c r="B87" t="s">
        <v>48</v>
      </c>
      <c r="C87" t="s">
        <v>139</v>
      </c>
      <c r="D87" t="s">
        <v>915</v>
      </c>
      <c r="E87" t="s">
        <v>916</v>
      </c>
      <c r="F87" t="s">
        <v>917</v>
      </c>
      <c r="G87" t="s">
        <v>1161</v>
      </c>
      <c r="H87">
        <v>238.67</v>
      </c>
      <c r="I87">
        <v>24.99</v>
      </c>
      <c r="J87">
        <v>96235.9</v>
      </c>
    </row>
    <row r="88" spans="1:10" x14ac:dyDescent="0.25">
      <c r="A88">
        <v>2015</v>
      </c>
      <c r="B88" t="s">
        <v>48</v>
      </c>
      <c r="C88" t="s">
        <v>229</v>
      </c>
      <c r="D88" t="s">
        <v>931</v>
      </c>
      <c r="E88" t="s">
        <v>932</v>
      </c>
      <c r="F88" t="s">
        <v>933</v>
      </c>
      <c r="G88" t="s">
        <v>1161</v>
      </c>
      <c r="H88">
        <v>175.64</v>
      </c>
      <c r="I88">
        <v>16.34</v>
      </c>
      <c r="J88">
        <v>70072.7</v>
      </c>
    </row>
    <row r="89" spans="1:10" x14ac:dyDescent="0.25">
      <c r="A89">
        <v>2015</v>
      </c>
      <c r="B89" t="s">
        <v>48</v>
      </c>
      <c r="C89" t="s">
        <v>211</v>
      </c>
      <c r="D89" t="s">
        <v>934</v>
      </c>
      <c r="E89" t="s">
        <v>935</v>
      </c>
      <c r="F89" t="s">
        <v>936</v>
      </c>
      <c r="G89" t="s">
        <v>1161</v>
      </c>
      <c r="H89">
        <v>209.11</v>
      </c>
      <c r="I89">
        <v>21.82</v>
      </c>
      <c r="J89">
        <v>84289.45</v>
      </c>
    </row>
    <row r="90" spans="1:10" x14ac:dyDescent="0.25">
      <c r="A90">
        <v>2015</v>
      </c>
      <c r="B90" t="s">
        <v>48</v>
      </c>
      <c r="C90" t="s">
        <v>238</v>
      </c>
      <c r="D90" t="s">
        <v>937</v>
      </c>
      <c r="E90" t="s">
        <v>938</v>
      </c>
      <c r="F90" t="s">
        <v>939</v>
      </c>
      <c r="G90" t="s">
        <v>1161</v>
      </c>
      <c r="H90">
        <v>213.85</v>
      </c>
      <c r="I90">
        <v>19.510000000000002</v>
      </c>
      <c r="J90">
        <v>85176.4</v>
      </c>
    </row>
    <row r="91" spans="1:10" x14ac:dyDescent="0.25">
      <c r="A91">
        <v>2015</v>
      </c>
      <c r="B91" t="s">
        <v>48</v>
      </c>
      <c r="C91" t="s">
        <v>347</v>
      </c>
      <c r="D91" t="s">
        <v>940</v>
      </c>
      <c r="E91" t="s">
        <v>941</v>
      </c>
      <c r="F91" t="s">
        <v>942</v>
      </c>
      <c r="G91" t="s">
        <v>1161</v>
      </c>
      <c r="H91">
        <v>247.3</v>
      </c>
      <c r="I91">
        <v>24.99</v>
      </c>
      <c r="J91">
        <v>99385.85</v>
      </c>
    </row>
    <row r="92" spans="1:10" x14ac:dyDescent="0.25">
      <c r="A92">
        <v>2015</v>
      </c>
      <c r="B92" t="s">
        <v>48</v>
      </c>
      <c r="C92" t="s">
        <v>302</v>
      </c>
      <c r="D92" t="s">
        <v>955</v>
      </c>
      <c r="E92" t="s">
        <v>956</v>
      </c>
      <c r="F92" t="s">
        <v>957</v>
      </c>
      <c r="G92" t="s">
        <v>1161</v>
      </c>
      <c r="H92">
        <v>106.17</v>
      </c>
      <c r="I92">
        <v>13.84</v>
      </c>
      <c r="J92">
        <v>43803.65</v>
      </c>
    </row>
    <row r="93" spans="1:10" x14ac:dyDescent="0.25">
      <c r="A93">
        <v>2015</v>
      </c>
      <c r="B93" t="s">
        <v>48</v>
      </c>
      <c r="C93" t="s">
        <v>55</v>
      </c>
      <c r="D93" t="s">
        <v>958</v>
      </c>
      <c r="E93" t="s">
        <v>959</v>
      </c>
      <c r="F93" t="s">
        <v>960</v>
      </c>
      <c r="G93" t="s">
        <v>1161</v>
      </c>
      <c r="H93">
        <v>155.56</v>
      </c>
      <c r="I93">
        <v>17.95</v>
      </c>
      <c r="J93">
        <v>63331.149999999994</v>
      </c>
    </row>
    <row r="94" spans="1:10" x14ac:dyDescent="0.25">
      <c r="A94">
        <v>2015</v>
      </c>
      <c r="B94" t="s">
        <v>48</v>
      </c>
      <c r="C94" t="s">
        <v>369</v>
      </c>
      <c r="D94" t="s">
        <v>961</v>
      </c>
      <c r="E94" t="s">
        <v>962</v>
      </c>
      <c r="F94" t="s">
        <v>963</v>
      </c>
      <c r="G94" t="s">
        <v>1161</v>
      </c>
      <c r="H94">
        <v>124.12</v>
      </c>
      <c r="I94">
        <v>15.040000000000001</v>
      </c>
      <c r="J94">
        <v>50793.4</v>
      </c>
    </row>
    <row r="95" spans="1:10" x14ac:dyDescent="0.25">
      <c r="A95">
        <v>2015</v>
      </c>
      <c r="B95" t="s">
        <v>48</v>
      </c>
      <c r="C95" t="s">
        <v>359</v>
      </c>
      <c r="D95" t="s">
        <v>964</v>
      </c>
      <c r="E95" t="s">
        <v>965</v>
      </c>
      <c r="F95" t="s">
        <v>966</v>
      </c>
      <c r="G95" t="s">
        <v>1161</v>
      </c>
      <c r="H95">
        <v>173.52</v>
      </c>
      <c r="I95">
        <v>19.149999999999999</v>
      </c>
      <c r="J95">
        <v>70324.55</v>
      </c>
    </row>
    <row r="96" spans="1:10" x14ac:dyDescent="0.25">
      <c r="A96">
        <v>2015</v>
      </c>
      <c r="B96" t="s">
        <v>48</v>
      </c>
      <c r="C96" t="s">
        <v>86</v>
      </c>
      <c r="D96" t="s">
        <v>979</v>
      </c>
      <c r="E96" t="s">
        <v>980</v>
      </c>
      <c r="F96" t="s">
        <v>981</v>
      </c>
      <c r="G96" t="s">
        <v>1161</v>
      </c>
      <c r="H96">
        <v>208.76</v>
      </c>
      <c r="I96">
        <v>13.84</v>
      </c>
      <c r="J96">
        <v>81249</v>
      </c>
    </row>
    <row r="97" spans="1:10" x14ac:dyDescent="0.25">
      <c r="A97">
        <v>2015</v>
      </c>
      <c r="B97" t="s">
        <v>48</v>
      </c>
      <c r="C97" t="s">
        <v>171</v>
      </c>
      <c r="D97" t="s">
        <v>982</v>
      </c>
      <c r="E97" t="s">
        <v>983</v>
      </c>
      <c r="F97" t="s">
        <v>984</v>
      </c>
      <c r="G97" t="s">
        <v>1161</v>
      </c>
      <c r="H97">
        <v>272.05</v>
      </c>
      <c r="I97">
        <v>17.95</v>
      </c>
      <c r="J97">
        <v>105850</v>
      </c>
    </row>
    <row r="98" spans="1:10" x14ac:dyDescent="0.25">
      <c r="A98">
        <v>2015</v>
      </c>
      <c r="B98" t="s">
        <v>48</v>
      </c>
      <c r="C98" t="s">
        <v>296</v>
      </c>
      <c r="D98" t="s">
        <v>985</v>
      </c>
      <c r="E98" t="s">
        <v>986</v>
      </c>
      <c r="F98" t="s">
        <v>987</v>
      </c>
      <c r="G98" t="s">
        <v>1161</v>
      </c>
      <c r="H98">
        <v>237.96</v>
      </c>
      <c r="I98">
        <v>15.040000000000001</v>
      </c>
      <c r="J98">
        <v>92345</v>
      </c>
    </row>
    <row r="99" spans="1:10" x14ac:dyDescent="0.25">
      <c r="A99">
        <v>2015</v>
      </c>
      <c r="B99" t="s">
        <v>48</v>
      </c>
      <c r="C99" t="s">
        <v>52</v>
      </c>
      <c r="D99" t="s">
        <v>988</v>
      </c>
      <c r="E99" t="s">
        <v>989</v>
      </c>
      <c r="F99" t="s">
        <v>990</v>
      </c>
      <c r="G99" t="s">
        <v>1161</v>
      </c>
      <c r="H99">
        <v>301.29000000000002</v>
      </c>
      <c r="I99">
        <v>19.149999999999999</v>
      </c>
      <c r="J99">
        <v>116960.6</v>
      </c>
    </row>
    <row r="100" spans="1:10" x14ac:dyDescent="0.25">
      <c r="A100">
        <v>2015</v>
      </c>
      <c r="B100" t="s">
        <v>48</v>
      </c>
      <c r="C100" t="s">
        <v>168</v>
      </c>
      <c r="D100" t="s">
        <v>1003</v>
      </c>
      <c r="E100" t="s">
        <v>1004</v>
      </c>
      <c r="F100" t="s">
        <v>1005</v>
      </c>
      <c r="G100" t="s">
        <v>1161</v>
      </c>
      <c r="H100">
        <v>243.59</v>
      </c>
      <c r="I100">
        <v>13.129999999999999</v>
      </c>
      <c r="J100">
        <v>93702.8</v>
      </c>
    </row>
    <row r="101" spans="1:10" x14ac:dyDescent="0.25">
      <c r="A101">
        <v>2015</v>
      </c>
      <c r="B101" t="s">
        <v>48</v>
      </c>
      <c r="C101" t="s">
        <v>56</v>
      </c>
      <c r="D101" t="s">
        <v>1006</v>
      </c>
      <c r="E101" t="s">
        <v>1007</v>
      </c>
      <c r="F101" t="s">
        <v>1008</v>
      </c>
      <c r="G101" t="s">
        <v>1161</v>
      </c>
      <c r="H101">
        <v>316.20999999999998</v>
      </c>
      <c r="I101">
        <v>17.900000000000002</v>
      </c>
      <c r="J101">
        <v>121950.14999999998</v>
      </c>
    </row>
    <row r="102" spans="1:10" x14ac:dyDescent="0.25">
      <c r="A102">
        <v>2015</v>
      </c>
      <c r="B102" t="s">
        <v>48</v>
      </c>
      <c r="C102" t="s">
        <v>311</v>
      </c>
      <c r="D102" t="s">
        <v>1009</v>
      </c>
      <c r="E102" t="s">
        <v>1010</v>
      </c>
      <c r="F102" t="s">
        <v>1011</v>
      </c>
      <c r="G102" t="s">
        <v>1161</v>
      </c>
      <c r="H102">
        <v>272.82</v>
      </c>
      <c r="I102">
        <v>16.27</v>
      </c>
      <c r="J102">
        <v>105517.84999999999</v>
      </c>
    </row>
    <row r="103" spans="1:10" x14ac:dyDescent="0.25">
      <c r="A103">
        <v>2015</v>
      </c>
      <c r="B103" t="s">
        <v>48</v>
      </c>
      <c r="C103" t="s">
        <v>303</v>
      </c>
      <c r="D103" t="s">
        <v>1012</v>
      </c>
      <c r="E103" t="s">
        <v>1013</v>
      </c>
      <c r="F103" t="s">
        <v>1014</v>
      </c>
      <c r="G103" t="s">
        <v>1161</v>
      </c>
      <c r="H103">
        <v>345.44</v>
      </c>
      <c r="I103">
        <v>21.04</v>
      </c>
      <c r="J103">
        <v>133765.20000000001</v>
      </c>
    </row>
    <row r="104" spans="1:10" x14ac:dyDescent="0.25">
      <c r="A104">
        <v>2015</v>
      </c>
      <c r="B104" t="s">
        <v>48</v>
      </c>
      <c r="C104" t="s">
        <v>308</v>
      </c>
      <c r="D104" t="s">
        <v>1027</v>
      </c>
      <c r="E104" t="s">
        <v>1028</v>
      </c>
      <c r="F104" t="s">
        <v>1029</v>
      </c>
      <c r="G104" t="s">
        <v>1161</v>
      </c>
      <c r="H104">
        <v>155.97</v>
      </c>
      <c r="I104">
        <v>13.84</v>
      </c>
      <c r="J104">
        <v>61980.65</v>
      </c>
    </row>
    <row r="105" spans="1:10" x14ac:dyDescent="0.25">
      <c r="A105">
        <v>2015</v>
      </c>
      <c r="B105" t="s">
        <v>48</v>
      </c>
      <c r="C105" t="s">
        <v>330</v>
      </c>
      <c r="D105" t="s">
        <v>1030</v>
      </c>
      <c r="E105" t="s">
        <v>1031</v>
      </c>
      <c r="F105" t="s">
        <v>1032</v>
      </c>
      <c r="G105" t="s">
        <v>1161</v>
      </c>
      <c r="H105">
        <v>205.36</v>
      </c>
      <c r="I105">
        <v>17.95</v>
      </c>
      <c r="J105">
        <v>81508.149999999994</v>
      </c>
    </row>
    <row r="106" spans="1:10" x14ac:dyDescent="0.25">
      <c r="A106">
        <v>2015</v>
      </c>
      <c r="B106" t="s">
        <v>48</v>
      </c>
      <c r="C106" t="s">
        <v>348</v>
      </c>
      <c r="D106" t="s">
        <v>1033</v>
      </c>
      <c r="E106" t="s">
        <v>1034</v>
      </c>
      <c r="F106" t="s">
        <v>1035</v>
      </c>
      <c r="G106" t="s">
        <v>1161</v>
      </c>
      <c r="H106">
        <v>185.2</v>
      </c>
      <c r="I106">
        <v>15.040000000000001</v>
      </c>
      <c r="J106">
        <v>73087.599999999991</v>
      </c>
    </row>
    <row r="107" spans="1:10" x14ac:dyDescent="0.25">
      <c r="A107">
        <v>2015</v>
      </c>
      <c r="B107" t="s">
        <v>48</v>
      </c>
      <c r="C107" t="s">
        <v>71</v>
      </c>
      <c r="D107" t="s">
        <v>1036</v>
      </c>
      <c r="E107" t="s">
        <v>1037</v>
      </c>
      <c r="F107" t="s">
        <v>1038</v>
      </c>
      <c r="G107" t="s">
        <v>1161</v>
      </c>
      <c r="H107">
        <v>234.59</v>
      </c>
      <c r="I107">
        <v>19.149999999999999</v>
      </c>
      <c r="J107">
        <v>92615.1</v>
      </c>
    </row>
    <row r="108" spans="1:10" x14ac:dyDescent="0.25">
      <c r="A108">
        <v>2015</v>
      </c>
      <c r="B108" t="s">
        <v>48</v>
      </c>
      <c r="C108" t="s">
        <v>117</v>
      </c>
      <c r="D108" t="s">
        <v>1051</v>
      </c>
      <c r="E108" t="s">
        <v>1052</v>
      </c>
      <c r="F108" t="s">
        <v>1053</v>
      </c>
      <c r="G108" t="s">
        <v>1161</v>
      </c>
      <c r="H108">
        <v>70.88</v>
      </c>
      <c r="I108">
        <v>13.84</v>
      </c>
      <c r="J108">
        <v>30922.799999999999</v>
      </c>
    </row>
    <row r="109" spans="1:10" x14ac:dyDescent="0.25">
      <c r="A109">
        <v>2015</v>
      </c>
      <c r="B109" t="s">
        <v>48</v>
      </c>
      <c r="C109" t="s">
        <v>293</v>
      </c>
      <c r="D109" t="s">
        <v>1054</v>
      </c>
      <c r="E109" t="s">
        <v>1055</v>
      </c>
      <c r="F109" t="s">
        <v>1056</v>
      </c>
      <c r="G109" t="s">
        <v>1161</v>
      </c>
      <c r="H109">
        <v>112.04</v>
      </c>
      <c r="I109">
        <v>17.95</v>
      </c>
      <c r="J109">
        <v>47446.350000000006</v>
      </c>
    </row>
    <row r="110" spans="1:10" x14ac:dyDescent="0.25">
      <c r="A110">
        <v>2015</v>
      </c>
      <c r="B110" t="s">
        <v>48</v>
      </c>
      <c r="C110" t="s">
        <v>96</v>
      </c>
      <c r="D110" t="s">
        <v>1063</v>
      </c>
      <c r="E110" t="s">
        <v>1064</v>
      </c>
      <c r="F110" t="s">
        <v>1065</v>
      </c>
      <c r="G110" t="s">
        <v>1161</v>
      </c>
      <c r="H110">
        <v>105.68</v>
      </c>
      <c r="I110">
        <v>13.84</v>
      </c>
      <c r="J110">
        <v>43624.800000000003</v>
      </c>
    </row>
    <row r="111" spans="1:10" x14ac:dyDescent="0.25">
      <c r="A111">
        <v>2015</v>
      </c>
      <c r="B111" t="s">
        <v>48</v>
      </c>
      <c r="C111" t="s">
        <v>87</v>
      </c>
      <c r="D111" t="s">
        <v>1066</v>
      </c>
      <c r="E111" t="s">
        <v>1067</v>
      </c>
      <c r="F111" t="s">
        <v>1068</v>
      </c>
      <c r="G111" t="s">
        <v>1161</v>
      </c>
      <c r="H111">
        <v>139.99</v>
      </c>
      <c r="I111">
        <v>17.95</v>
      </c>
      <c r="J111">
        <v>57648.1</v>
      </c>
    </row>
    <row r="112" spans="1:10" x14ac:dyDescent="0.25">
      <c r="A112">
        <v>2015</v>
      </c>
      <c r="B112" t="s">
        <v>48</v>
      </c>
      <c r="C112" t="s">
        <v>361</v>
      </c>
      <c r="D112" t="s">
        <v>1075</v>
      </c>
      <c r="E112" t="s">
        <v>1076</v>
      </c>
      <c r="F112" t="s">
        <v>1077</v>
      </c>
      <c r="G112" t="s">
        <v>1161</v>
      </c>
      <c r="H112">
        <v>129.51</v>
      </c>
      <c r="I112">
        <v>13.84</v>
      </c>
      <c r="J112">
        <v>52322.75</v>
      </c>
    </row>
    <row r="113" spans="1:10" x14ac:dyDescent="0.25">
      <c r="A113">
        <v>2015</v>
      </c>
      <c r="B113" t="s">
        <v>48</v>
      </c>
      <c r="C113" t="s">
        <v>172</v>
      </c>
      <c r="D113" t="s">
        <v>1078</v>
      </c>
      <c r="E113" t="s">
        <v>1079</v>
      </c>
      <c r="F113" t="s">
        <v>1080</v>
      </c>
      <c r="G113" t="s">
        <v>1161</v>
      </c>
      <c r="H113">
        <v>163.82</v>
      </c>
      <c r="I113">
        <v>17.95</v>
      </c>
      <c r="J113">
        <v>66346.049999999988</v>
      </c>
    </row>
    <row r="114" spans="1:10" x14ac:dyDescent="0.25">
      <c r="A114">
        <v>2015</v>
      </c>
      <c r="B114" t="s">
        <v>48</v>
      </c>
      <c r="C114" t="s">
        <v>379</v>
      </c>
      <c r="D114" t="s">
        <v>1081</v>
      </c>
      <c r="E114" t="s">
        <v>1082</v>
      </c>
      <c r="F114" t="s">
        <v>1083</v>
      </c>
      <c r="G114" t="s">
        <v>1161</v>
      </c>
      <c r="H114">
        <v>149.75</v>
      </c>
      <c r="I114">
        <v>15.040000000000001</v>
      </c>
      <c r="J114">
        <v>60148.35</v>
      </c>
    </row>
    <row r="115" spans="1:10" x14ac:dyDescent="0.25">
      <c r="A115">
        <v>2015</v>
      </c>
      <c r="B115" t="s">
        <v>48</v>
      </c>
      <c r="C115" t="s">
        <v>77</v>
      </c>
      <c r="D115" t="s">
        <v>1084</v>
      </c>
      <c r="E115" t="s">
        <v>1085</v>
      </c>
      <c r="F115" t="s">
        <v>1086</v>
      </c>
      <c r="G115" t="s">
        <v>1161</v>
      </c>
      <c r="H115">
        <v>184.07</v>
      </c>
      <c r="I115">
        <v>19.149999999999999</v>
      </c>
      <c r="J115">
        <v>74175.3</v>
      </c>
    </row>
    <row r="116" spans="1:10" x14ac:dyDescent="0.25">
      <c r="A116">
        <v>2015</v>
      </c>
      <c r="B116" t="s">
        <v>48</v>
      </c>
      <c r="C116" t="s">
        <v>232</v>
      </c>
      <c r="D116" t="s">
        <v>1099</v>
      </c>
      <c r="E116" t="s">
        <v>1100</v>
      </c>
      <c r="F116" t="s">
        <v>1101</v>
      </c>
      <c r="G116" t="s">
        <v>1161</v>
      </c>
      <c r="H116">
        <v>164.61</v>
      </c>
      <c r="I116">
        <v>14.049999999999999</v>
      </c>
      <c r="J116">
        <v>65210.900000000009</v>
      </c>
    </row>
    <row r="117" spans="1:10" x14ac:dyDescent="0.25">
      <c r="A117">
        <v>2015</v>
      </c>
      <c r="B117" t="s">
        <v>48</v>
      </c>
      <c r="C117" t="s">
        <v>218</v>
      </c>
      <c r="D117" t="s">
        <v>1102</v>
      </c>
      <c r="E117" t="s">
        <v>1103</v>
      </c>
      <c r="F117" t="s">
        <v>1104</v>
      </c>
      <c r="G117" t="s">
        <v>1161</v>
      </c>
      <c r="H117">
        <v>210.93</v>
      </c>
      <c r="I117">
        <v>18.82</v>
      </c>
      <c r="J117">
        <v>83858.75</v>
      </c>
    </row>
    <row r="118" spans="1:10" x14ac:dyDescent="0.25">
      <c r="A118">
        <v>2015</v>
      </c>
      <c r="B118" t="s">
        <v>48</v>
      </c>
      <c r="C118" t="s">
        <v>261</v>
      </c>
      <c r="D118" t="s">
        <v>1105</v>
      </c>
      <c r="E118" t="s">
        <v>1106</v>
      </c>
      <c r="F118" t="s">
        <v>1107</v>
      </c>
      <c r="G118" t="s">
        <v>1161</v>
      </c>
      <c r="H118">
        <v>188.58</v>
      </c>
      <c r="I118">
        <v>17.18</v>
      </c>
      <c r="J118">
        <v>75102.400000000009</v>
      </c>
    </row>
    <row r="119" spans="1:10" x14ac:dyDescent="0.25">
      <c r="A119">
        <v>2015</v>
      </c>
      <c r="B119" t="s">
        <v>48</v>
      </c>
      <c r="C119" t="s">
        <v>208</v>
      </c>
      <c r="D119" t="s">
        <v>1108</v>
      </c>
      <c r="E119" t="s">
        <v>1109</v>
      </c>
      <c r="F119" t="s">
        <v>1110</v>
      </c>
      <c r="G119" t="s">
        <v>1161</v>
      </c>
      <c r="H119">
        <v>234.87</v>
      </c>
      <c r="I119">
        <v>21.96</v>
      </c>
      <c r="J119">
        <v>93742.95</v>
      </c>
    </row>
    <row r="120" spans="1:10" x14ac:dyDescent="0.25">
      <c r="A120">
        <v>2015</v>
      </c>
      <c r="B120" t="s">
        <v>48</v>
      </c>
      <c r="C120" t="s">
        <v>215</v>
      </c>
      <c r="D120" t="s">
        <v>1123</v>
      </c>
      <c r="E120" t="s">
        <v>1124</v>
      </c>
      <c r="F120" t="s">
        <v>1125</v>
      </c>
      <c r="G120" t="s">
        <v>1161</v>
      </c>
      <c r="H120">
        <v>181.11</v>
      </c>
      <c r="I120">
        <v>16.510000000000002</v>
      </c>
      <c r="J120">
        <v>72131.3</v>
      </c>
    </row>
    <row r="121" spans="1:10" x14ac:dyDescent="0.25">
      <c r="A121">
        <v>2015</v>
      </c>
      <c r="B121" t="s">
        <v>48</v>
      </c>
      <c r="C121" t="s">
        <v>189</v>
      </c>
      <c r="D121" t="s">
        <v>1126</v>
      </c>
      <c r="E121" t="s">
        <v>1127</v>
      </c>
      <c r="F121" t="s">
        <v>1128</v>
      </c>
      <c r="G121" t="s">
        <v>1161</v>
      </c>
      <c r="H121">
        <v>227.41</v>
      </c>
      <c r="I121">
        <v>22.17</v>
      </c>
      <c r="J121">
        <v>91096.7</v>
      </c>
    </row>
    <row r="122" spans="1:10" x14ac:dyDescent="0.25">
      <c r="A122">
        <v>2015</v>
      </c>
      <c r="B122" t="s">
        <v>48</v>
      </c>
      <c r="C122" t="s">
        <v>85</v>
      </c>
      <c r="D122" t="s">
        <v>1129</v>
      </c>
      <c r="E122" t="s">
        <v>1130</v>
      </c>
      <c r="F122" t="s">
        <v>1131</v>
      </c>
      <c r="G122" t="s">
        <v>1161</v>
      </c>
      <c r="H122">
        <v>209.25</v>
      </c>
      <c r="I122">
        <v>19.64</v>
      </c>
      <c r="J122">
        <v>83544.849999999991</v>
      </c>
    </row>
    <row r="123" spans="1:10" x14ac:dyDescent="0.25">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O231"/>
  <sheetViews>
    <sheetView workbookViewId="0">
      <selection activeCell="D4" sqref="D4"/>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7.7109375" bestFit="1" customWidth="1"/>
    <col min="11" max="11" width="7.7109375" customWidth="1"/>
    <col min="12" max="13" width="9.28515625" style="39"/>
  </cols>
  <sheetData>
    <row r="1" spans="1:14" x14ac:dyDescent="0.25">
      <c r="A1" t="s">
        <v>2</v>
      </c>
      <c r="B1" t="s">
        <v>1</v>
      </c>
      <c r="C1" t="s">
        <v>4</v>
      </c>
      <c r="D1" t="s">
        <v>0</v>
      </c>
      <c r="E1" t="s">
        <v>0</v>
      </c>
      <c r="F1" t="s">
        <v>699</v>
      </c>
      <c r="G1" t="s">
        <v>1147</v>
      </c>
      <c r="H1" t="s">
        <v>3</v>
      </c>
      <c r="I1" t="s">
        <v>577</v>
      </c>
      <c r="J1" t="s">
        <v>578</v>
      </c>
      <c r="K1" t="s">
        <v>1165</v>
      </c>
      <c r="L1" s="39" t="s">
        <v>1166</v>
      </c>
      <c r="M1" s="39" t="s">
        <v>1166</v>
      </c>
      <c r="N1" t="s">
        <v>577</v>
      </c>
    </row>
    <row r="2" spans="1:14" x14ac:dyDescent="0.2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x14ac:dyDescent="0.25">
      <c r="A3">
        <v>2015</v>
      </c>
      <c r="B3" t="s">
        <v>47</v>
      </c>
      <c r="C3" t="s">
        <v>574</v>
      </c>
      <c r="D3" t="s">
        <v>573</v>
      </c>
      <c r="E3" t="s">
        <v>659</v>
      </c>
      <c r="F3" t="s">
        <v>718</v>
      </c>
      <c r="G3" t="s">
        <v>47</v>
      </c>
      <c r="H3">
        <v>153.15</v>
      </c>
      <c r="J3" s="1">
        <v>55899.75</v>
      </c>
      <c r="K3" s="1"/>
      <c r="L3" s="40">
        <f>J4-J3</f>
        <v>7431.3999999999942</v>
      </c>
      <c r="M3" s="40">
        <v>21407.25</v>
      </c>
    </row>
    <row r="4" spans="1:14" x14ac:dyDescent="0.2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x14ac:dyDescent="0.2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x14ac:dyDescent="0.2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x14ac:dyDescent="0.2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x14ac:dyDescent="0.2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x14ac:dyDescent="0.2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x14ac:dyDescent="0.2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x14ac:dyDescent="0.2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x14ac:dyDescent="0.2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x14ac:dyDescent="0.2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x14ac:dyDescent="0.2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x14ac:dyDescent="0.2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x14ac:dyDescent="0.2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x14ac:dyDescent="0.2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x14ac:dyDescent="0.2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x14ac:dyDescent="0.2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x14ac:dyDescent="0.25">
      <c r="A20">
        <v>2015</v>
      </c>
      <c r="B20" t="s">
        <v>47</v>
      </c>
      <c r="C20" t="s">
        <v>93</v>
      </c>
      <c r="D20" t="s">
        <v>92</v>
      </c>
      <c r="E20" t="s">
        <v>661</v>
      </c>
      <c r="F20" t="s">
        <v>722</v>
      </c>
      <c r="G20" t="s">
        <v>47</v>
      </c>
      <c r="H20">
        <v>234.3</v>
      </c>
      <c r="J20" s="1">
        <v>85519.5</v>
      </c>
      <c r="K20" s="1"/>
      <c r="L20" s="40">
        <f>J21-J20</f>
        <v>-7223.3500000000058</v>
      </c>
      <c r="M20" s="40">
        <v>10457.25</v>
      </c>
    </row>
    <row r="21" spans="1:15" x14ac:dyDescent="0.25">
      <c r="A21">
        <v>2015</v>
      </c>
      <c r="B21" t="s">
        <v>47</v>
      </c>
      <c r="C21" t="s">
        <v>306</v>
      </c>
      <c r="D21" t="s">
        <v>305</v>
      </c>
      <c r="E21" t="s">
        <v>657</v>
      </c>
      <c r="F21" t="s">
        <v>714</v>
      </c>
      <c r="G21" t="s">
        <v>47</v>
      </c>
      <c r="H21">
        <v>214.51</v>
      </c>
      <c r="J21" s="1">
        <v>78296.149999999994</v>
      </c>
      <c r="K21" s="1"/>
      <c r="L21" s="40">
        <f>J22-J21</f>
        <v>-10906.199999999997</v>
      </c>
      <c r="M21" s="40">
        <v>10453.600000000006</v>
      </c>
    </row>
    <row r="22" spans="1:15" x14ac:dyDescent="0.25">
      <c r="A22">
        <v>2015</v>
      </c>
      <c r="B22" t="s">
        <v>47</v>
      </c>
      <c r="C22" t="s">
        <v>386</v>
      </c>
      <c r="D22" t="s">
        <v>385</v>
      </c>
      <c r="E22" t="s">
        <v>655</v>
      </c>
      <c r="F22" t="s">
        <v>710</v>
      </c>
      <c r="G22" t="s">
        <v>47</v>
      </c>
      <c r="H22">
        <v>184.63</v>
      </c>
      <c r="J22" s="1">
        <v>67389.95</v>
      </c>
      <c r="K22" s="1"/>
      <c r="L22" s="40">
        <f>J23-J22</f>
        <v>-17268.150000000001</v>
      </c>
      <c r="M22" s="40">
        <v>10449.949999999997</v>
      </c>
    </row>
    <row r="23" spans="1:15" x14ac:dyDescent="0.2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x14ac:dyDescent="0.2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x14ac:dyDescent="0.2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x14ac:dyDescent="0.2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25">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25">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25">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25">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25">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25">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25">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25">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25">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25">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25">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25">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25">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25">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25">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25">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25">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25">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25">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25">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25">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25">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25">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25">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25">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25">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25">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25">
      <c r="A54">
        <v>2015</v>
      </c>
      <c r="B54" t="s">
        <v>48</v>
      </c>
      <c r="C54" t="s">
        <v>254</v>
      </c>
      <c r="D54" t="s">
        <v>253</v>
      </c>
      <c r="E54" t="s">
        <v>579</v>
      </c>
      <c r="F54" t="s">
        <v>1149</v>
      </c>
      <c r="G54" t="s">
        <v>1161</v>
      </c>
      <c r="H54">
        <v>66.75</v>
      </c>
      <c r="I54">
        <v>13.31</v>
      </c>
      <c r="J54" s="1">
        <v>29221.9</v>
      </c>
      <c r="K54" s="1"/>
    </row>
    <row r="55" spans="1:13" x14ac:dyDescent="0.25">
      <c r="A55">
        <v>2015</v>
      </c>
      <c r="B55" t="s">
        <v>48</v>
      </c>
      <c r="C55" t="s">
        <v>298</v>
      </c>
      <c r="D55" t="s">
        <v>297</v>
      </c>
      <c r="E55" t="s">
        <v>580</v>
      </c>
      <c r="F55" t="s">
        <v>1150</v>
      </c>
      <c r="G55" t="s">
        <v>1161</v>
      </c>
      <c r="H55">
        <v>85.09</v>
      </c>
      <c r="I55">
        <v>13.930000000000001</v>
      </c>
      <c r="J55" s="1">
        <v>36142.300000000003</v>
      </c>
      <c r="K55" s="1"/>
    </row>
    <row r="56" spans="1:13" x14ac:dyDescent="0.25">
      <c r="A56">
        <v>2015</v>
      </c>
      <c r="B56" t="s">
        <v>48</v>
      </c>
      <c r="C56" t="s">
        <v>62</v>
      </c>
      <c r="D56" t="s">
        <v>61</v>
      </c>
      <c r="E56" t="s">
        <v>582</v>
      </c>
      <c r="F56" t="s">
        <v>701</v>
      </c>
      <c r="G56" t="s">
        <v>1161</v>
      </c>
      <c r="H56">
        <v>129.01</v>
      </c>
      <c r="I56">
        <v>15.670000000000002</v>
      </c>
      <c r="J56" s="1">
        <v>52808.200000000004</v>
      </c>
      <c r="K56" s="1"/>
    </row>
    <row r="57" spans="1:13" x14ac:dyDescent="0.25">
      <c r="A57">
        <v>2015</v>
      </c>
      <c r="B57" t="s">
        <v>48</v>
      </c>
      <c r="C57" t="s">
        <v>342</v>
      </c>
      <c r="D57" t="s">
        <v>341</v>
      </c>
      <c r="E57" t="s">
        <v>584</v>
      </c>
      <c r="F57" t="s">
        <v>703</v>
      </c>
      <c r="G57" t="s">
        <v>1161</v>
      </c>
      <c r="H57">
        <v>143.22</v>
      </c>
      <c r="I57">
        <v>15.879999999999999</v>
      </c>
      <c r="J57" s="1">
        <v>58071.5</v>
      </c>
      <c r="K57" s="1"/>
    </row>
    <row r="58" spans="1:13" x14ac:dyDescent="0.25">
      <c r="A58">
        <v>2015</v>
      </c>
      <c r="B58" t="s">
        <v>48</v>
      </c>
      <c r="C58" t="s">
        <v>270</v>
      </c>
      <c r="D58" t="s">
        <v>269</v>
      </c>
      <c r="E58" t="s">
        <v>586</v>
      </c>
      <c r="F58" t="s">
        <v>705</v>
      </c>
      <c r="G58" t="s">
        <v>1161</v>
      </c>
      <c r="H58">
        <v>188.24</v>
      </c>
      <c r="I58">
        <v>16.510000000000002</v>
      </c>
      <c r="J58" s="1">
        <v>74733.75</v>
      </c>
      <c r="K58" s="1"/>
    </row>
    <row r="59" spans="1:13" x14ac:dyDescent="0.25">
      <c r="A59">
        <v>2015</v>
      </c>
      <c r="B59" t="s">
        <v>48</v>
      </c>
      <c r="C59" t="s">
        <v>284</v>
      </c>
      <c r="D59" t="s">
        <v>283</v>
      </c>
      <c r="E59" t="s">
        <v>588</v>
      </c>
      <c r="F59" t="s">
        <v>707</v>
      </c>
      <c r="G59" t="s">
        <v>1161</v>
      </c>
      <c r="H59">
        <v>188.55</v>
      </c>
      <c r="I59">
        <v>16.830000000000002</v>
      </c>
      <c r="J59" s="1">
        <v>74963.700000000012</v>
      </c>
      <c r="K59" s="1"/>
    </row>
    <row r="60" spans="1:13" x14ac:dyDescent="0.25">
      <c r="A60">
        <v>2015</v>
      </c>
      <c r="B60" t="s">
        <v>48</v>
      </c>
      <c r="C60" t="s">
        <v>164</v>
      </c>
      <c r="D60" t="s">
        <v>163</v>
      </c>
      <c r="E60" t="s">
        <v>590</v>
      </c>
      <c r="F60" t="s">
        <v>709</v>
      </c>
      <c r="G60" t="s">
        <v>1161</v>
      </c>
      <c r="H60">
        <v>224.62</v>
      </c>
      <c r="I60">
        <v>17.29</v>
      </c>
      <c r="J60" s="1">
        <v>88297.15</v>
      </c>
      <c r="K60" s="1"/>
    </row>
    <row r="61" spans="1:13" x14ac:dyDescent="0.25">
      <c r="A61">
        <v>2015</v>
      </c>
      <c r="B61" t="s">
        <v>48</v>
      </c>
      <c r="C61" t="s">
        <v>371</v>
      </c>
      <c r="D61" t="s">
        <v>370</v>
      </c>
      <c r="E61" t="s">
        <v>592</v>
      </c>
      <c r="F61" t="s">
        <v>713</v>
      </c>
      <c r="G61" t="s">
        <v>1161</v>
      </c>
      <c r="H61">
        <v>256.25</v>
      </c>
      <c r="I61">
        <v>18.260000000000002</v>
      </c>
      <c r="J61" s="1">
        <v>100196.15</v>
      </c>
      <c r="K61" s="1"/>
    </row>
    <row r="62" spans="1:13" x14ac:dyDescent="0.25">
      <c r="A62">
        <v>2015</v>
      </c>
      <c r="B62" t="s">
        <v>48</v>
      </c>
      <c r="C62" t="s">
        <v>570</v>
      </c>
      <c r="D62" t="s">
        <v>569</v>
      </c>
      <c r="E62" t="s">
        <v>594</v>
      </c>
      <c r="F62" t="s">
        <v>717</v>
      </c>
      <c r="G62" t="s">
        <v>1161</v>
      </c>
      <c r="H62">
        <v>223.57</v>
      </c>
      <c r="I62">
        <v>21.29</v>
      </c>
      <c r="J62" s="1">
        <v>89373.9</v>
      </c>
      <c r="K62" s="1"/>
    </row>
    <row r="63" spans="1:13" x14ac:dyDescent="0.25">
      <c r="A63">
        <v>2015</v>
      </c>
      <c r="B63" t="s">
        <v>48</v>
      </c>
      <c r="C63" t="s">
        <v>130</v>
      </c>
      <c r="D63" t="s">
        <v>129</v>
      </c>
      <c r="E63" t="s">
        <v>596</v>
      </c>
      <c r="F63" t="s">
        <v>721</v>
      </c>
      <c r="G63" t="s">
        <v>1161</v>
      </c>
      <c r="H63">
        <v>277.11</v>
      </c>
      <c r="I63">
        <v>17.73</v>
      </c>
      <c r="J63" s="1">
        <v>107616.6</v>
      </c>
      <c r="K63" s="1"/>
    </row>
    <row r="64" spans="1:13" x14ac:dyDescent="0.25">
      <c r="A64">
        <v>2015</v>
      </c>
      <c r="B64" t="s">
        <v>48</v>
      </c>
      <c r="C64" t="s">
        <v>375</v>
      </c>
      <c r="D64" t="s">
        <v>374</v>
      </c>
      <c r="E64" t="s">
        <v>597</v>
      </c>
      <c r="F64" t="s">
        <v>724</v>
      </c>
      <c r="G64" t="s">
        <v>1161</v>
      </c>
      <c r="H64">
        <v>80.16</v>
      </c>
      <c r="I64">
        <v>9.66</v>
      </c>
      <c r="J64" s="1">
        <v>32784.299999999996</v>
      </c>
      <c r="K64" s="1">
        <f>J65-J64</f>
        <v>10844.150000000001</v>
      </c>
    </row>
    <row r="65" spans="1:11" x14ac:dyDescent="0.25">
      <c r="A65">
        <v>2015</v>
      </c>
      <c r="B65" t="s">
        <v>48</v>
      </c>
      <c r="C65" t="s">
        <v>295</v>
      </c>
      <c r="D65" t="s">
        <v>294</v>
      </c>
      <c r="E65" t="s">
        <v>598</v>
      </c>
      <c r="F65" t="s">
        <v>725</v>
      </c>
      <c r="G65" t="s">
        <v>1161</v>
      </c>
      <c r="H65">
        <v>104.78</v>
      </c>
      <c r="I65">
        <v>14.75</v>
      </c>
      <c r="J65" s="1">
        <v>43628.45</v>
      </c>
      <c r="K65" s="1"/>
    </row>
    <row r="66" spans="1:11" x14ac:dyDescent="0.25">
      <c r="A66">
        <v>2015</v>
      </c>
      <c r="B66" t="s">
        <v>48</v>
      </c>
      <c r="C66" t="s">
        <v>315</v>
      </c>
      <c r="D66" t="s">
        <v>314</v>
      </c>
      <c r="E66" t="s">
        <v>599</v>
      </c>
      <c r="F66" t="s">
        <v>726</v>
      </c>
      <c r="G66" t="s">
        <v>1161</v>
      </c>
      <c r="H66">
        <v>118.23</v>
      </c>
      <c r="I66">
        <v>9.66</v>
      </c>
      <c r="J66" s="1">
        <v>46679.85</v>
      </c>
      <c r="K66" s="1">
        <f>J67-J66</f>
        <v>10048.449999999997</v>
      </c>
    </row>
    <row r="67" spans="1:11" x14ac:dyDescent="0.25">
      <c r="A67">
        <v>2015</v>
      </c>
      <c r="B67" t="s">
        <v>48</v>
      </c>
      <c r="C67" t="s">
        <v>70</v>
      </c>
      <c r="D67" t="s">
        <v>69</v>
      </c>
      <c r="E67" t="s">
        <v>600</v>
      </c>
      <c r="F67" t="s">
        <v>727</v>
      </c>
      <c r="G67" t="s">
        <v>1161</v>
      </c>
      <c r="H67">
        <v>140.66999999999999</v>
      </c>
      <c r="I67">
        <v>14.75</v>
      </c>
      <c r="J67" s="1">
        <v>56728.299999999996</v>
      </c>
      <c r="K67" s="1"/>
    </row>
    <row r="68" spans="1:11" x14ac:dyDescent="0.25">
      <c r="A68">
        <v>2015</v>
      </c>
      <c r="B68" t="s">
        <v>48</v>
      </c>
      <c r="C68" t="s">
        <v>213</v>
      </c>
      <c r="D68" t="s">
        <v>212</v>
      </c>
      <c r="E68" t="s">
        <v>601</v>
      </c>
      <c r="F68" t="s">
        <v>728</v>
      </c>
      <c r="G68" t="s">
        <v>1161</v>
      </c>
      <c r="H68">
        <v>128.72</v>
      </c>
      <c r="I68">
        <v>14.03</v>
      </c>
      <c r="J68" s="1">
        <v>52103.75</v>
      </c>
      <c r="K68" s="1">
        <f>J69-J68</f>
        <v>11041.25</v>
      </c>
    </row>
    <row r="69" spans="1:11" x14ac:dyDescent="0.25">
      <c r="A69">
        <v>2015</v>
      </c>
      <c r="B69" t="s">
        <v>48</v>
      </c>
      <c r="C69" t="s">
        <v>322</v>
      </c>
      <c r="D69" t="s">
        <v>321</v>
      </c>
      <c r="E69" t="s">
        <v>602</v>
      </c>
      <c r="F69" t="s">
        <v>729</v>
      </c>
      <c r="G69" t="s">
        <v>1161</v>
      </c>
      <c r="H69">
        <v>153.94999999999999</v>
      </c>
      <c r="I69">
        <v>19.049999999999997</v>
      </c>
      <c r="J69" s="1">
        <v>63145</v>
      </c>
      <c r="K69" s="1"/>
    </row>
    <row r="70" spans="1:11" x14ac:dyDescent="0.25">
      <c r="A70">
        <v>2015</v>
      </c>
      <c r="B70" t="s">
        <v>48</v>
      </c>
      <c r="C70" t="s">
        <v>335</v>
      </c>
      <c r="D70" t="s">
        <v>334</v>
      </c>
      <c r="E70" t="s">
        <v>603</v>
      </c>
      <c r="F70" t="s">
        <v>730</v>
      </c>
      <c r="G70" t="s">
        <v>1161</v>
      </c>
      <c r="H70">
        <v>148.41</v>
      </c>
      <c r="I70">
        <v>14.03</v>
      </c>
      <c r="J70" s="1">
        <v>59290.6</v>
      </c>
      <c r="K70" s="1">
        <f>J71-J70</f>
        <v>11534.000000000007</v>
      </c>
    </row>
    <row r="71" spans="1:11" x14ac:dyDescent="0.25">
      <c r="A71">
        <v>2015</v>
      </c>
      <c r="B71" t="s">
        <v>48</v>
      </c>
      <c r="C71" t="s">
        <v>320</v>
      </c>
      <c r="D71" t="s">
        <v>319</v>
      </c>
      <c r="E71" t="s">
        <v>604</v>
      </c>
      <c r="F71" t="s">
        <v>731</v>
      </c>
      <c r="G71" t="s">
        <v>1161</v>
      </c>
      <c r="H71">
        <v>174.99</v>
      </c>
      <c r="I71">
        <v>19.049999999999997</v>
      </c>
      <c r="J71" s="1">
        <v>70824.600000000006</v>
      </c>
      <c r="K71" s="1"/>
    </row>
    <row r="72" spans="1:11" x14ac:dyDescent="0.25">
      <c r="A72">
        <v>2015</v>
      </c>
      <c r="B72" t="s">
        <v>48</v>
      </c>
      <c r="C72" t="s">
        <v>194</v>
      </c>
      <c r="D72" t="s">
        <v>193</v>
      </c>
      <c r="E72" t="s">
        <v>605</v>
      </c>
      <c r="F72" t="s">
        <v>732</v>
      </c>
      <c r="G72" t="s">
        <v>1161</v>
      </c>
      <c r="H72">
        <v>160.44</v>
      </c>
      <c r="I72">
        <v>18.149999999999999</v>
      </c>
      <c r="J72" s="1">
        <v>65185.35</v>
      </c>
      <c r="K72" s="1">
        <f>J73-J72</f>
        <v>11902.650000000001</v>
      </c>
    </row>
    <row r="73" spans="1:11" x14ac:dyDescent="0.25">
      <c r="A73">
        <v>2015</v>
      </c>
      <c r="B73" t="s">
        <v>48</v>
      </c>
      <c r="C73" t="s">
        <v>346</v>
      </c>
      <c r="D73" t="s">
        <v>345</v>
      </c>
      <c r="E73" t="s">
        <v>606</v>
      </c>
      <c r="F73" t="s">
        <v>733</v>
      </c>
      <c r="G73" t="s">
        <v>1161</v>
      </c>
      <c r="H73">
        <v>187.5</v>
      </c>
      <c r="I73">
        <v>23.7</v>
      </c>
      <c r="J73" s="1">
        <v>77088</v>
      </c>
      <c r="K73" s="1"/>
    </row>
    <row r="74" spans="1:11" x14ac:dyDescent="0.25">
      <c r="A74">
        <v>2015</v>
      </c>
      <c r="B74" t="s">
        <v>48</v>
      </c>
      <c r="C74" t="s">
        <v>154</v>
      </c>
      <c r="D74" t="s">
        <v>153</v>
      </c>
      <c r="E74" t="s">
        <v>607</v>
      </c>
      <c r="F74" t="s">
        <v>734</v>
      </c>
      <c r="G74" t="s">
        <v>1161</v>
      </c>
      <c r="H74">
        <v>217.79</v>
      </c>
      <c r="I74">
        <v>16.71</v>
      </c>
      <c r="J74" s="1">
        <v>85592.5</v>
      </c>
      <c r="K74" s="1">
        <f>J75-J74</f>
        <v>11804.099999999991</v>
      </c>
    </row>
    <row r="75" spans="1:11" x14ac:dyDescent="0.25">
      <c r="A75">
        <v>2015</v>
      </c>
      <c r="B75" t="s">
        <v>48</v>
      </c>
      <c r="C75" t="s">
        <v>243</v>
      </c>
      <c r="D75" t="s">
        <v>242</v>
      </c>
      <c r="E75" t="s">
        <v>608</v>
      </c>
      <c r="F75" t="s">
        <v>735</v>
      </c>
      <c r="G75" t="s">
        <v>1161</v>
      </c>
      <c r="H75">
        <v>245.5</v>
      </c>
      <c r="I75">
        <v>21.34</v>
      </c>
      <c r="J75" s="1">
        <v>97396.599999999991</v>
      </c>
      <c r="K75" s="1"/>
    </row>
    <row r="76" spans="1:11" x14ac:dyDescent="0.25">
      <c r="A76">
        <v>2015</v>
      </c>
      <c r="B76" t="s">
        <v>48</v>
      </c>
      <c r="C76" t="s">
        <v>260</v>
      </c>
      <c r="D76" t="s">
        <v>259</v>
      </c>
      <c r="E76" t="s">
        <v>609</v>
      </c>
      <c r="F76" t="s">
        <v>697</v>
      </c>
      <c r="G76" t="s">
        <v>1161</v>
      </c>
      <c r="H76">
        <v>290.49</v>
      </c>
      <c r="I76">
        <v>18.729999999999997</v>
      </c>
      <c r="J76" s="1">
        <v>112865.3</v>
      </c>
      <c r="K76" s="1">
        <f>J77-J76</f>
        <v>18567.549999999974</v>
      </c>
    </row>
    <row r="77" spans="1:11" x14ac:dyDescent="0.25">
      <c r="A77">
        <v>2015</v>
      </c>
      <c r="B77" t="s">
        <v>48</v>
      </c>
      <c r="C77" t="s">
        <v>151</v>
      </c>
      <c r="D77" t="s">
        <v>150</v>
      </c>
      <c r="E77" t="s">
        <v>610</v>
      </c>
      <c r="F77" t="s">
        <v>698</v>
      </c>
      <c r="G77" t="s">
        <v>1161</v>
      </c>
      <c r="H77">
        <v>334</v>
      </c>
      <c r="I77">
        <v>26.09</v>
      </c>
      <c r="J77" s="1">
        <v>131432.84999999998</v>
      </c>
      <c r="K77" s="1"/>
    </row>
    <row r="78" spans="1:11" x14ac:dyDescent="0.25">
      <c r="A78">
        <v>2015</v>
      </c>
      <c r="B78" t="s">
        <v>48</v>
      </c>
      <c r="C78" t="s">
        <v>175</v>
      </c>
      <c r="D78" t="s">
        <v>174</v>
      </c>
      <c r="E78" t="s">
        <v>611</v>
      </c>
      <c r="F78" t="s">
        <v>736</v>
      </c>
      <c r="G78" t="s">
        <v>1161</v>
      </c>
      <c r="H78">
        <v>66.45</v>
      </c>
      <c r="I78">
        <v>12.120000000000001</v>
      </c>
      <c r="J78" s="1">
        <v>28678.050000000003</v>
      </c>
      <c r="K78" s="1">
        <f>J79-J78</f>
        <v>14402.899999999994</v>
      </c>
    </row>
    <row r="79" spans="1:11" x14ac:dyDescent="0.25">
      <c r="A79">
        <v>2015</v>
      </c>
      <c r="B79" t="s">
        <v>48</v>
      </c>
      <c r="C79" t="s">
        <v>277</v>
      </c>
      <c r="D79" t="s">
        <v>276</v>
      </c>
      <c r="E79" t="s">
        <v>612</v>
      </c>
      <c r="F79" t="s">
        <v>737</v>
      </c>
      <c r="G79" t="s">
        <v>1161</v>
      </c>
      <c r="H79">
        <v>101.93</v>
      </c>
      <c r="I79">
        <v>16.100000000000001</v>
      </c>
      <c r="J79" s="1">
        <v>43080.95</v>
      </c>
      <c r="K79" s="1"/>
    </row>
    <row r="80" spans="1:11" x14ac:dyDescent="0.25">
      <c r="A80">
        <v>2015</v>
      </c>
      <c r="B80" t="s">
        <v>48</v>
      </c>
      <c r="C80" t="s">
        <v>67</v>
      </c>
      <c r="D80" t="s">
        <v>66</v>
      </c>
      <c r="E80" t="s">
        <v>613</v>
      </c>
      <c r="F80" t="s">
        <v>740</v>
      </c>
      <c r="G80" t="s">
        <v>1161</v>
      </c>
      <c r="H80">
        <v>83.58</v>
      </c>
      <c r="I80">
        <v>12.120000000000001</v>
      </c>
      <c r="J80" s="1">
        <v>34930.5</v>
      </c>
      <c r="K80" s="1">
        <f>J81-J80</f>
        <v>14406.549999999996</v>
      </c>
    </row>
    <row r="81" spans="1:11" x14ac:dyDescent="0.25">
      <c r="A81">
        <v>2015</v>
      </c>
      <c r="B81" t="s">
        <v>48</v>
      </c>
      <c r="C81" t="s">
        <v>149</v>
      </c>
      <c r="D81" t="s">
        <v>148</v>
      </c>
      <c r="E81" t="s">
        <v>614</v>
      </c>
      <c r="F81" t="s">
        <v>741</v>
      </c>
      <c r="G81" t="s">
        <v>1161</v>
      </c>
      <c r="H81">
        <v>119.07</v>
      </c>
      <c r="I81">
        <v>16.100000000000001</v>
      </c>
      <c r="J81" s="1">
        <v>49337.049999999996</v>
      </c>
      <c r="K81" s="1"/>
    </row>
    <row r="82" spans="1:11" x14ac:dyDescent="0.25">
      <c r="A82">
        <v>2015</v>
      </c>
      <c r="B82" t="s">
        <v>48</v>
      </c>
      <c r="C82" t="s">
        <v>75</v>
      </c>
      <c r="D82" t="s">
        <v>74</v>
      </c>
      <c r="E82" t="s">
        <v>616</v>
      </c>
      <c r="F82" t="s">
        <v>757</v>
      </c>
      <c r="G82" t="s">
        <v>1161</v>
      </c>
      <c r="H82">
        <v>133.57</v>
      </c>
      <c r="I82">
        <v>16.100000000000001</v>
      </c>
      <c r="J82" s="1">
        <v>54629.549999999996</v>
      </c>
      <c r="K82" s="1"/>
    </row>
    <row r="83" spans="1:11" x14ac:dyDescent="0.25">
      <c r="A83">
        <v>2015</v>
      </c>
      <c r="B83" t="s">
        <v>48</v>
      </c>
      <c r="C83" t="s">
        <v>313</v>
      </c>
      <c r="D83" t="s">
        <v>312</v>
      </c>
      <c r="E83" t="s">
        <v>617</v>
      </c>
      <c r="F83" t="s">
        <v>758</v>
      </c>
      <c r="G83" t="s">
        <v>1161</v>
      </c>
      <c r="H83">
        <v>113.99</v>
      </c>
      <c r="I83">
        <v>12.7</v>
      </c>
      <c r="J83" s="1">
        <v>46241.85</v>
      </c>
      <c r="K83" s="1"/>
    </row>
    <row r="84" spans="1:11" x14ac:dyDescent="0.25">
      <c r="A84">
        <v>2015</v>
      </c>
      <c r="B84" t="s">
        <v>48</v>
      </c>
      <c r="C84" t="s">
        <v>115</v>
      </c>
      <c r="D84" t="s">
        <v>114</v>
      </c>
      <c r="E84" t="s">
        <v>618</v>
      </c>
      <c r="F84" t="s">
        <v>759</v>
      </c>
      <c r="G84" t="s">
        <v>1161</v>
      </c>
      <c r="H84">
        <v>149.47999999999999</v>
      </c>
      <c r="I84">
        <v>16.690000000000001</v>
      </c>
      <c r="J84" s="1">
        <v>60652.049999999996</v>
      </c>
      <c r="K84" s="1"/>
    </row>
    <row r="85" spans="1:11" x14ac:dyDescent="0.25">
      <c r="A85">
        <v>2015</v>
      </c>
      <c r="B85" t="s">
        <v>48</v>
      </c>
      <c r="C85" t="s">
        <v>83</v>
      </c>
      <c r="D85" t="s">
        <v>82</v>
      </c>
      <c r="E85" t="s">
        <v>620</v>
      </c>
      <c r="F85" t="s">
        <v>766</v>
      </c>
      <c r="G85" t="s">
        <v>1161</v>
      </c>
      <c r="H85">
        <v>146.91</v>
      </c>
      <c r="I85">
        <v>16.100000000000001</v>
      </c>
      <c r="J85" s="1">
        <v>59498.649999999994</v>
      </c>
      <c r="K85" s="1"/>
    </row>
    <row r="86" spans="1:11" x14ac:dyDescent="0.25">
      <c r="A86">
        <v>2015</v>
      </c>
      <c r="B86" t="s">
        <v>48</v>
      </c>
      <c r="C86" t="s">
        <v>185</v>
      </c>
      <c r="D86" t="s">
        <v>184</v>
      </c>
      <c r="E86" t="s">
        <v>621</v>
      </c>
      <c r="F86" t="s">
        <v>767</v>
      </c>
      <c r="G86" t="s">
        <v>1161</v>
      </c>
      <c r="H86">
        <v>129.01</v>
      </c>
      <c r="I86">
        <v>12.7</v>
      </c>
      <c r="J86" s="1">
        <v>51724.149999999994</v>
      </c>
      <c r="K86" s="1"/>
    </row>
    <row r="87" spans="1:11" x14ac:dyDescent="0.25">
      <c r="A87">
        <v>2015</v>
      </c>
      <c r="B87" t="s">
        <v>48</v>
      </c>
      <c r="C87" t="s">
        <v>363</v>
      </c>
      <c r="D87" t="s">
        <v>362</v>
      </c>
      <c r="E87" t="s">
        <v>622</v>
      </c>
      <c r="F87" t="s">
        <v>768</v>
      </c>
      <c r="G87" t="s">
        <v>1161</v>
      </c>
      <c r="H87">
        <v>164.5</v>
      </c>
      <c r="I87">
        <v>16.690000000000001</v>
      </c>
      <c r="J87" s="1">
        <v>66134.350000000006</v>
      </c>
      <c r="K87" s="1"/>
    </row>
    <row r="88" spans="1:11" x14ac:dyDescent="0.25">
      <c r="A88">
        <v>2015</v>
      </c>
      <c r="B88" t="s">
        <v>48</v>
      </c>
      <c r="C88" t="s">
        <v>170</v>
      </c>
      <c r="D88" t="s">
        <v>169</v>
      </c>
      <c r="E88" t="s">
        <v>624</v>
      </c>
      <c r="F88" t="s">
        <v>774</v>
      </c>
      <c r="G88" t="s">
        <v>1161</v>
      </c>
      <c r="H88">
        <v>183</v>
      </c>
      <c r="I88">
        <v>17.62</v>
      </c>
      <c r="J88" s="1">
        <v>73226.3</v>
      </c>
      <c r="K88" s="1"/>
    </row>
    <row r="89" spans="1:11" x14ac:dyDescent="0.25">
      <c r="A89">
        <v>2015</v>
      </c>
      <c r="B89" t="s">
        <v>48</v>
      </c>
      <c r="C89" t="s">
        <v>226</v>
      </c>
      <c r="D89" t="s">
        <v>225</v>
      </c>
      <c r="E89" t="s">
        <v>625</v>
      </c>
      <c r="F89" t="s">
        <v>775</v>
      </c>
      <c r="G89" t="s">
        <v>1161</v>
      </c>
      <c r="H89">
        <v>157</v>
      </c>
      <c r="I89">
        <v>16.2</v>
      </c>
      <c r="J89" s="1">
        <v>63217.999999999993</v>
      </c>
      <c r="K89" s="1"/>
    </row>
    <row r="90" spans="1:11" x14ac:dyDescent="0.25">
      <c r="A90">
        <v>2015</v>
      </c>
      <c r="B90" t="s">
        <v>48</v>
      </c>
      <c r="C90" t="s">
        <v>73</v>
      </c>
      <c r="D90" t="s">
        <v>72</v>
      </c>
      <c r="E90" t="s">
        <v>626</v>
      </c>
      <c r="F90" t="s">
        <v>776</v>
      </c>
      <c r="G90" t="s">
        <v>1161</v>
      </c>
      <c r="H90">
        <v>205.56</v>
      </c>
      <c r="I90">
        <v>20.79</v>
      </c>
      <c r="J90" s="1">
        <v>82617.75</v>
      </c>
      <c r="K90" s="1"/>
    </row>
    <row r="91" spans="1:11" x14ac:dyDescent="0.25">
      <c r="A91">
        <v>2015</v>
      </c>
      <c r="B91" t="s">
        <v>48</v>
      </c>
      <c r="C91" t="s">
        <v>50</v>
      </c>
      <c r="D91" t="s">
        <v>49</v>
      </c>
      <c r="E91" t="s">
        <v>628</v>
      </c>
      <c r="F91" t="s">
        <v>783</v>
      </c>
      <c r="G91" t="s">
        <v>1161</v>
      </c>
      <c r="H91">
        <v>175.98</v>
      </c>
      <c r="I91">
        <v>16.61</v>
      </c>
      <c r="J91" s="1">
        <v>70295.349999999991</v>
      </c>
      <c r="K91" s="1"/>
    </row>
    <row r="92" spans="1:11" x14ac:dyDescent="0.25">
      <c r="A92">
        <v>2015</v>
      </c>
      <c r="B92" t="s">
        <v>48</v>
      </c>
      <c r="C92" t="s">
        <v>91</v>
      </c>
      <c r="D92" t="s">
        <v>90</v>
      </c>
      <c r="E92" t="s">
        <v>629</v>
      </c>
      <c r="F92" t="s">
        <v>784</v>
      </c>
      <c r="G92" t="s">
        <v>1161</v>
      </c>
      <c r="H92">
        <v>150.9</v>
      </c>
      <c r="I92">
        <v>15.16</v>
      </c>
      <c r="J92" s="1">
        <v>60611.9</v>
      </c>
      <c r="K92" s="1"/>
    </row>
    <row r="93" spans="1:11" x14ac:dyDescent="0.25">
      <c r="A93">
        <v>2015</v>
      </c>
      <c r="B93" t="s">
        <v>48</v>
      </c>
      <c r="C93" t="s">
        <v>60</v>
      </c>
      <c r="D93" t="s">
        <v>59</v>
      </c>
      <c r="E93" t="s">
        <v>630</v>
      </c>
      <c r="F93" t="s">
        <v>785</v>
      </c>
      <c r="G93" t="s">
        <v>1161</v>
      </c>
      <c r="H93">
        <v>199.45</v>
      </c>
      <c r="I93">
        <v>19.73</v>
      </c>
      <c r="J93" s="1">
        <v>80000.7</v>
      </c>
      <c r="K93" s="1"/>
    </row>
    <row r="94" spans="1:11" x14ac:dyDescent="0.25">
      <c r="A94">
        <v>2015</v>
      </c>
      <c r="B94" t="s">
        <v>48</v>
      </c>
      <c r="C94" t="s">
        <v>120</v>
      </c>
      <c r="D94" t="s">
        <v>119</v>
      </c>
      <c r="E94" t="s">
        <v>632</v>
      </c>
      <c r="F94" t="s">
        <v>792</v>
      </c>
      <c r="G94" t="s">
        <v>1161</v>
      </c>
      <c r="H94">
        <v>247.54</v>
      </c>
      <c r="I94">
        <v>17.62</v>
      </c>
      <c r="J94" s="1">
        <v>96783.4</v>
      </c>
      <c r="K94" s="1"/>
    </row>
    <row r="95" spans="1:11" x14ac:dyDescent="0.25">
      <c r="A95">
        <v>2015</v>
      </c>
      <c r="B95" t="s">
        <v>48</v>
      </c>
      <c r="C95" t="s">
        <v>382</v>
      </c>
      <c r="D95" t="s">
        <v>381</v>
      </c>
      <c r="E95" t="s">
        <v>633</v>
      </c>
      <c r="F95" t="s">
        <v>793</v>
      </c>
      <c r="G95" t="s">
        <v>1161</v>
      </c>
      <c r="H95">
        <v>194</v>
      </c>
      <c r="I95">
        <v>16.2</v>
      </c>
      <c r="J95" s="1">
        <v>76723</v>
      </c>
      <c r="K95" s="1"/>
    </row>
    <row r="96" spans="1:11" x14ac:dyDescent="0.25">
      <c r="A96">
        <v>2015</v>
      </c>
      <c r="B96" t="s">
        <v>48</v>
      </c>
      <c r="C96" t="s">
        <v>161</v>
      </c>
      <c r="D96" t="s">
        <v>160</v>
      </c>
      <c r="E96" t="s">
        <v>634</v>
      </c>
      <c r="F96" t="s">
        <v>794</v>
      </c>
      <c r="G96" t="s">
        <v>1161</v>
      </c>
      <c r="H96">
        <v>276.08</v>
      </c>
      <c r="I96">
        <v>20.79</v>
      </c>
      <c r="J96" s="1">
        <v>108357.55</v>
      </c>
      <c r="K96" s="1"/>
    </row>
    <row r="97" spans="1:13" x14ac:dyDescent="0.25">
      <c r="A97">
        <v>2015</v>
      </c>
      <c r="B97" t="s">
        <v>48</v>
      </c>
      <c r="C97" t="s">
        <v>199</v>
      </c>
      <c r="D97" t="s">
        <v>198</v>
      </c>
      <c r="E97" t="s">
        <v>636</v>
      </c>
      <c r="F97" t="s">
        <v>801</v>
      </c>
      <c r="G97" t="s">
        <v>1161</v>
      </c>
      <c r="H97">
        <v>209.27</v>
      </c>
      <c r="I97">
        <v>22.18</v>
      </c>
      <c r="J97" s="1">
        <v>84479.25</v>
      </c>
      <c r="K97" s="1"/>
    </row>
    <row r="98" spans="1:13" x14ac:dyDescent="0.25">
      <c r="A98">
        <v>2015</v>
      </c>
      <c r="B98" t="s">
        <v>48</v>
      </c>
      <c r="C98" t="s">
        <v>122</v>
      </c>
      <c r="D98" t="s">
        <v>121</v>
      </c>
      <c r="E98" t="s">
        <v>637</v>
      </c>
      <c r="F98" t="s">
        <v>802</v>
      </c>
      <c r="G98" t="s">
        <v>1161</v>
      </c>
      <c r="H98">
        <v>183.26</v>
      </c>
      <c r="I98">
        <v>19.860000000000003</v>
      </c>
      <c r="J98" s="1">
        <v>74138.8</v>
      </c>
      <c r="K98" s="1"/>
    </row>
    <row r="99" spans="1:13" x14ac:dyDescent="0.25">
      <c r="A99">
        <v>2015</v>
      </c>
      <c r="B99" t="s">
        <v>48</v>
      </c>
      <c r="C99" t="s">
        <v>111</v>
      </c>
      <c r="D99" t="s">
        <v>110</v>
      </c>
      <c r="E99" t="s">
        <v>638</v>
      </c>
      <c r="F99" t="s">
        <v>803</v>
      </c>
      <c r="G99" t="s">
        <v>1161</v>
      </c>
      <c r="H99">
        <v>231.81</v>
      </c>
      <c r="I99">
        <v>25.35</v>
      </c>
      <c r="J99" s="1">
        <v>93863.400000000009</v>
      </c>
      <c r="K99" s="1"/>
    </row>
    <row r="100" spans="1:13" x14ac:dyDescent="0.25">
      <c r="A100">
        <v>2015</v>
      </c>
      <c r="B100" t="s">
        <v>48</v>
      </c>
      <c r="C100" t="s">
        <v>132</v>
      </c>
      <c r="D100" t="s">
        <v>131</v>
      </c>
      <c r="E100" t="s">
        <v>639</v>
      </c>
      <c r="F100" t="s">
        <v>744</v>
      </c>
      <c r="G100" t="s">
        <v>1161</v>
      </c>
      <c r="H100">
        <v>140.71</v>
      </c>
      <c r="I100">
        <v>16.690000000000001</v>
      </c>
      <c r="J100" s="1">
        <v>57451</v>
      </c>
      <c r="K100" s="1"/>
    </row>
    <row r="101" spans="1:13" x14ac:dyDescent="0.25">
      <c r="A101">
        <v>2015</v>
      </c>
      <c r="B101" t="s">
        <v>48</v>
      </c>
      <c r="C101" t="s">
        <v>388</v>
      </c>
      <c r="D101" t="s">
        <v>387</v>
      </c>
      <c r="E101" t="s">
        <v>640</v>
      </c>
      <c r="F101" t="s">
        <v>747</v>
      </c>
      <c r="G101" t="s">
        <v>1161</v>
      </c>
      <c r="H101">
        <v>181.3</v>
      </c>
      <c r="I101">
        <v>16.690000000000001</v>
      </c>
      <c r="J101" s="1">
        <v>72266.350000000006</v>
      </c>
      <c r="K101" s="1"/>
    </row>
    <row r="102" spans="1:13" x14ac:dyDescent="0.25">
      <c r="A102">
        <v>2015</v>
      </c>
      <c r="B102" t="s">
        <v>48</v>
      </c>
      <c r="C102" t="s">
        <v>145</v>
      </c>
      <c r="D102" t="s">
        <v>144</v>
      </c>
      <c r="E102" t="s">
        <v>641</v>
      </c>
      <c r="F102" t="s">
        <v>749</v>
      </c>
      <c r="G102" t="s">
        <v>1161</v>
      </c>
      <c r="H102">
        <v>223.71</v>
      </c>
      <c r="I102">
        <v>22.66</v>
      </c>
      <c r="J102" s="1">
        <v>89925.05</v>
      </c>
      <c r="K102" s="1"/>
    </row>
    <row r="103" spans="1:13" x14ac:dyDescent="0.25">
      <c r="A103">
        <v>2015</v>
      </c>
      <c r="B103" t="s">
        <v>48</v>
      </c>
      <c r="C103" t="s">
        <v>333</v>
      </c>
      <c r="D103" t="s">
        <v>332</v>
      </c>
      <c r="E103" t="s">
        <v>642</v>
      </c>
      <c r="F103" t="s">
        <v>751</v>
      </c>
      <c r="G103" t="s">
        <v>1161</v>
      </c>
      <c r="H103">
        <v>263.13</v>
      </c>
      <c r="I103">
        <v>22.66</v>
      </c>
      <c r="J103" s="1">
        <v>104313.35</v>
      </c>
      <c r="K103" s="1"/>
    </row>
    <row r="104" spans="1:13" x14ac:dyDescent="0.25">
      <c r="A104">
        <v>2015</v>
      </c>
      <c r="B104" t="s">
        <v>48</v>
      </c>
      <c r="C104" t="s">
        <v>354</v>
      </c>
      <c r="D104" t="s">
        <v>353</v>
      </c>
      <c r="E104" t="s">
        <v>643</v>
      </c>
      <c r="F104" t="s">
        <v>753</v>
      </c>
      <c r="G104" t="s">
        <v>1161</v>
      </c>
      <c r="H104">
        <v>261.93</v>
      </c>
      <c r="I104">
        <v>22.66</v>
      </c>
      <c r="J104" s="1">
        <v>103875.35</v>
      </c>
      <c r="K104" s="1"/>
    </row>
    <row r="105" spans="1:13" x14ac:dyDescent="0.25">
      <c r="A105">
        <v>2015</v>
      </c>
      <c r="B105" t="s">
        <v>48</v>
      </c>
      <c r="C105" t="s">
        <v>564</v>
      </c>
      <c r="D105" t="s">
        <v>563</v>
      </c>
      <c r="E105" t="s">
        <v>644</v>
      </c>
      <c r="F105" t="s">
        <v>755</v>
      </c>
      <c r="G105" t="s">
        <v>1161</v>
      </c>
      <c r="H105">
        <v>340.98</v>
      </c>
      <c r="I105">
        <v>23.72</v>
      </c>
      <c r="J105" s="1">
        <v>133115.50000000003</v>
      </c>
      <c r="K105" s="1"/>
    </row>
    <row r="106" spans="1:13" x14ac:dyDescent="0.25">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25">
      <c r="A107">
        <v>2015</v>
      </c>
      <c r="B107" t="s">
        <v>48</v>
      </c>
      <c r="C107" t="s">
        <v>207</v>
      </c>
      <c r="D107" t="s">
        <v>811</v>
      </c>
      <c r="E107" t="s">
        <v>812</v>
      </c>
      <c r="F107" t="s">
        <v>813</v>
      </c>
      <c r="G107" t="s">
        <v>1161</v>
      </c>
      <c r="H107">
        <v>133.26</v>
      </c>
      <c r="I107">
        <v>16.600000000000001</v>
      </c>
      <c r="J107" s="1">
        <v>54698.899999999994</v>
      </c>
      <c r="K107" s="1"/>
    </row>
    <row r="108" spans="1:13" x14ac:dyDescent="0.25">
      <c r="A108">
        <v>2015</v>
      </c>
      <c r="B108" t="s">
        <v>48</v>
      </c>
      <c r="C108" t="s">
        <v>338</v>
      </c>
      <c r="D108" t="s">
        <v>820</v>
      </c>
      <c r="E108" t="s">
        <v>821</v>
      </c>
      <c r="F108" t="s">
        <v>822</v>
      </c>
      <c r="G108" t="s">
        <v>1161</v>
      </c>
      <c r="H108">
        <v>118.87</v>
      </c>
      <c r="I108">
        <v>12.4</v>
      </c>
      <c r="J108" s="1">
        <v>47913.55</v>
      </c>
      <c r="K108" s="1">
        <f>J109-J108</f>
        <v>16085.549999999996</v>
      </c>
    </row>
    <row r="109" spans="1:13" x14ac:dyDescent="0.25">
      <c r="A109">
        <v>2015</v>
      </c>
      <c r="B109" t="s">
        <v>48</v>
      </c>
      <c r="C109" t="s">
        <v>116</v>
      </c>
      <c r="D109" t="s">
        <v>823</v>
      </c>
      <c r="E109" t="s">
        <v>824</v>
      </c>
      <c r="F109" t="s">
        <v>825</v>
      </c>
      <c r="G109" t="s">
        <v>1161</v>
      </c>
      <c r="H109">
        <v>158.74</v>
      </c>
      <c r="I109">
        <v>16.600000000000001</v>
      </c>
      <c r="J109" s="1">
        <v>63999.1</v>
      </c>
      <c r="K109" s="1"/>
    </row>
    <row r="110" spans="1:13" x14ac:dyDescent="0.25">
      <c r="A110">
        <v>2015</v>
      </c>
      <c r="B110" t="s">
        <v>48</v>
      </c>
      <c r="C110" t="s">
        <v>159</v>
      </c>
      <c r="D110" t="s">
        <v>835</v>
      </c>
      <c r="E110" t="s">
        <v>836</v>
      </c>
      <c r="F110" t="s">
        <v>837</v>
      </c>
      <c r="G110" t="s">
        <v>1161</v>
      </c>
      <c r="H110">
        <v>147.96</v>
      </c>
      <c r="I110">
        <v>16.600000000000001</v>
      </c>
      <c r="J110" s="1">
        <v>60064.4</v>
      </c>
      <c r="K110" s="1"/>
    </row>
    <row r="111" spans="1:13" x14ac:dyDescent="0.25">
      <c r="A111">
        <v>2015</v>
      </c>
      <c r="B111" t="s">
        <v>48</v>
      </c>
      <c r="C111" t="s">
        <v>331</v>
      </c>
      <c r="D111" t="s">
        <v>838</v>
      </c>
      <c r="E111" t="s">
        <v>839</v>
      </c>
      <c r="F111" t="s">
        <v>840</v>
      </c>
      <c r="G111" t="s">
        <v>1161</v>
      </c>
      <c r="H111">
        <v>135.22</v>
      </c>
      <c r="I111">
        <v>13.040000000000001</v>
      </c>
      <c r="J111" s="1">
        <v>54114.899999999994</v>
      </c>
      <c r="K111" s="1"/>
    </row>
    <row r="112" spans="1:13" x14ac:dyDescent="0.25">
      <c r="A112">
        <v>2015</v>
      </c>
      <c r="B112" t="s">
        <v>48</v>
      </c>
      <c r="C112" t="s">
        <v>140</v>
      </c>
      <c r="D112" t="s">
        <v>841</v>
      </c>
      <c r="E112" t="s">
        <v>842</v>
      </c>
      <c r="F112" t="s">
        <v>843</v>
      </c>
      <c r="G112" t="s">
        <v>1161</v>
      </c>
      <c r="H112">
        <v>179.02</v>
      </c>
      <c r="I112">
        <v>17.25</v>
      </c>
      <c r="J112" s="1">
        <v>71638.55</v>
      </c>
      <c r="K112" s="1"/>
    </row>
    <row r="113" spans="1:11" x14ac:dyDescent="0.25">
      <c r="A113">
        <v>2015</v>
      </c>
      <c r="B113" t="s">
        <v>48</v>
      </c>
      <c r="C113" t="s">
        <v>100</v>
      </c>
      <c r="D113" t="s">
        <v>859</v>
      </c>
      <c r="E113" t="s">
        <v>860</v>
      </c>
      <c r="F113" t="s">
        <v>861</v>
      </c>
      <c r="G113" t="s">
        <v>1161</v>
      </c>
      <c r="H113">
        <v>160.6</v>
      </c>
      <c r="I113">
        <v>16.600000000000001</v>
      </c>
      <c r="J113" s="1">
        <v>64677.999999999993</v>
      </c>
      <c r="K113" s="1"/>
    </row>
    <row r="114" spans="1:11" x14ac:dyDescent="0.25">
      <c r="A114">
        <v>2015</v>
      </c>
      <c r="B114" t="s">
        <v>48</v>
      </c>
      <c r="C114" t="s">
        <v>118</v>
      </c>
      <c r="D114" t="s">
        <v>862</v>
      </c>
      <c r="E114" t="s">
        <v>863</v>
      </c>
      <c r="F114" t="s">
        <v>864</v>
      </c>
      <c r="G114" t="s">
        <v>1161</v>
      </c>
      <c r="H114">
        <v>152.31</v>
      </c>
      <c r="I114">
        <v>13.040000000000001</v>
      </c>
      <c r="J114" s="1">
        <v>60352.75</v>
      </c>
      <c r="K114" s="1"/>
    </row>
    <row r="115" spans="1:11" x14ac:dyDescent="0.25">
      <c r="A115">
        <v>2015</v>
      </c>
      <c r="B115" t="s">
        <v>48</v>
      </c>
      <c r="C115" t="s">
        <v>316</v>
      </c>
      <c r="D115" t="s">
        <v>865</v>
      </c>
      <c r="E115" t="s">
        <v>866</v>
      </c>
      <c r="F115" t="s">
        <v>867</v>
      </c>
      <c r="G115" t="s">
        <v>1161</v>
      </c>
      <c r="H115">
        <v>192.17</v>
      </c>
      <c r="I115">
        <v>17.25</v>
      </c>
      <c r="J115" s="1">
        <v>76438.299999999988</v>
      </c>
      <c r="K115" s="1"/>
    </row>
    <row r="116" spans="1:11" x14ac:dyDescent="0.25">
      <c r="A116">
        <v>2015</v>
      </c>
      <c r="B116" t="s">
        <v>48</v>
      </c>
      <c r="C116" t="s">
        <v>152</v>
      </c>
      <c r="D116" t="s">
        <v>884</v>
      </c>
      <c r="E116" t="s">
        <v>885</v>
      </c>
      <c r="F116" t="s">
        <v>886</v>
      </c>
      <c r="G116" t="s">
        <v>1161</v>
      </c>
      <c r="H116">
        <v>186.85</v>
      </c>
      <c r="I116">
        <v>18.510000000000002</v>
      </c>
      <c r="J116" s="1">
        <v>74956.399999999994</v>
      </c>
      <c r="K116" s="1"/>
    </row>
    <row r="117" spans="1:11" x14ac:dyDescent="0.25">
      <c r="A117">
        <v>2015</v>
      </c>
      <c r="B117" t="s">
        <v>48</v>
      </c>
      <c r="C117" t="s">
        <v>357</v>
      </c>
      <c r="D117" t="s">
        <v>887</v>
      </c>
      <c r="E117" t="s">
        <v>888</v>
      </c>
      <c r="F117" t="s">
        <v>889</v>
      </c>
      <c r="G117" t="s">
        <v>1161</v>
      </c>
      <c r="H117">
        <v>179.5</v>
      </c>
      <c r="I117">
        <v>17.09</v>
      </c>
      <c r="J117" s="1">
        <v>71755.350000000006</v>
      </c>
      <c r="K117" s="1"/>
    </row>
    <row r="118" spans="1:11" x14ac:dyDescent="0.25">
      <c r="A118">
        <v>2015</v>
      </c>
      <c r="B118" t="s">
        <v>48</v>
      </c>
      <c r="C118" t="s">
        <v>84</v>
      </c>
      <c r="D118" t="s">
        <v>890</v>
      </c>
      <c r="E118" t="s">
        <v>891</v>
      </c>
      <c r="F118" t="s">
        <v>892</v>
      </c>
      <c r="G118" t="s">
        <v>1161</v>
      </c>
      <c r="H118">
        <v>223.28</v>
      </c>
      <c r="I118">
        <v>21.68</v>
      </c>
      <c r="J118" s="1">
        <v>89410.400000000009</v>
      </c>
      <c r="K118" s="1"/>
    </row>
    <row r="119" spans="1:11" x14ac:dyDescent="0.25">
      <c r="A119">
        <v>2015</v>
      </c>
      <c r="B119" t="s">
        <v>48</v>
      </c>
      <c r="C119" t="s">
        <v>51</v>
      </c>
      <c r="D119" t="s">
        <v>909</v>
      </c>
      <c r="E119" t="s">
        <v>910</v>
      </c>
      <c r="F119" t="s">
        <v>911</v>
      </c>
      <c r="G119" t="s">
        <v>1161</v>
      </c>
      <c r="H119">
        <v>197.04</v>
      </c>
      <c r="I119">
        <v>21.82</v>
      </c>
      <c r="J119" s="1">
        <v>79883.899999999994</v>
      </c>
      <c r="K119" s="1"/>
    </row>
    <row r="120" spans="1:11" x14ac:dyDescent="0.25">
      <c r="A120">
        <v>2015</v>
      </c>
      <c r="B120" t="s">
        <v>48</v>
      </c>
      <c r="C120" t="s">
        <v>358</v>
      </c>
      <c r="D120" t="s">
        <v>912</v>
      </c>
      <c r="E120" t="s">
        <v>913</v>
      </c>
      <c r="F120" t="s">
        <v>914</v>
      </c>
      <c r="G120" t="s">
        <v>1161</v>
      </c>
      <c r="H120">
        <v>198.83</v>
      </c>
      <c r="I120">
        <v>19.510000000000002</v>
      </c>
      <c r="J120" s="1">
        <v>79694.100000000006</v>
      </c>
      <c r="K120" s="1"/>
    </row>
    <row r="121" spans="1:11" x14ac:dyDescent="0.25">
      <c r="A121">
        <v>2015</v>
      </c>
      <c r="B121" t="s">
        <v>48</v>
      </c>
      <c r="C121" t="s">
        <v>139</v>
      </c>
      <c r="D121" t="s">
        <v>915</v>
      </c>
      <c r="E121" t="s">
        <v>916</v>
      </c>
      <c r="F121" t="s">
        <v>917</v>
      </c>
      <c r="G121" t="s">
        <v>1161</v>
      </c>
      <c r="H121">
        <v>238.67</v>
      </c>
      <c r="I121">
        <v>24.99</v>
      </c>
      <c r="J121" s="1">
        <v>96235.9</v>
      </c>
      <c r="K121" s="1"/>
    </row>
    <row r="122" spans="1:11" x14ac:dyDescent="0.25">
      <c r="A122">
        <v>2015</v>
      </c>
      <c r="B122" t="s">
        <v>48</v>
      </c>
      <c r="C122" t="s">
        <v>211</v>
      </c>
      <c r="D122" t="s">
        <v>934</v>
      </c>
      <c r="E122" t="s">
        <v>935</v>
      </c>
      <c r="F122" t="s">
        <v>936</v>
      </c>
      <c r="G122" t="s">
        <v>1161</v>
      </c>
      <c r="H122">
        <v>209.11</v>
      </c>
      <c r="I122">
        <v>21.82</v>
      </c>
      <c r="J122" s="1">
        <v>84289.45</v>
      </c>
      <c r="K122" s="1"/>
    </row>
    <row r="123" spans="1:11" x14ac:dyDescent="0.25">
      <c r="A123">
        <v>2015</v>
      </c>
      <c r="B123" t="s">
        <v>48</v>
      </c>
      <c r="C123" t="s">
        <v>238</v>
      </c>
      <c r="D123" t="s">
        <v>937</v>
      </c>
      <c r="E123" t="s">
        <v>938</v>
      </c>
      <c r="F123" t="s">
        <v>939</v>
      </c>
      <c r="G123" t="s">
        <v>1161</v>
      </c>
      <c r="H123">
        <v>213.85</v>
      </c>
      <c r="I123">
        <v>19.510000000000002</v>
      </c>
      <c r="J123" s="1">
        <v>85176.4</v>
      </c>
      <c r="K123" s="1"/>
    </row>
    <row r="124" spans="1:11" x14ac:dyDescent="0.25">
      <c r="A124">
        <v>2015</v>
      </c>
      <c r="B124" t="s">
        <v>48</v>
      </c>
      <c r="C124" t="s">
        <v>347</v>
      </c>
      <c r="D124" t="s">
        <v>940</v>
      </c>
      <c r="E124" t="s">
        <v>941</v>
      </c>
      <c r="F124" t="s">
        <v>942</v>
      </c>
      <c r="G124" t="s">
        <v>1161</v>
      </c>
      <c r="H124">
        <v>247.3</v>
      </c>
      <c r="I124">
        <v>24.99</v>
      </c>
      <c r="J124" s="1">
        <v>99385.85</v>
      </c>
      <c r="K124" s="1"/>
    </row>
    <row r="125" spans="1:11" x14ac:dyDescent="0.25">
      <c r="A125">
        <v>2015</v>
      </c>
      <c r="B125" t="s">
        <v>48</v>
      </c>
      <c r="C125" t="s">
        <v>55</v>
      </c>
      <c r="D125" t="s">
        <v>958</v>
      </c>
      <c r="E125" t="s">
        <v>959</v>
      </c>
      <c r="F125" t="s">
        <v>960</v>
      </c>
      <c r="G125" t="s">
        <v>1161</v>
      </c>
      <c r="H125">
        <v>155.56</v>
      </c>
      <c r="I125">
        <v>17.95</v>
      </c>
      <c r="J125" s="1">
        <v>63331.149999999994</v>
      </c>
      <c r="K125" s="1"/>
    </row>
    <row r="126" spans="1:11" x14ac:dyDescent="0.25">
      <c r="A126">
        <v>2015</v>
      </c>
      <c r="B126" t="s">
        <v>48</v>
      </c>
      <c r="C126" t="s">
        <v>369</v>
      </c>
      <c r="D126" t="s">
        <v>961</v>
      </c>
      <c r="E126" t="s">
        <v>962</v>
      </c>
      <c r="F126" t="s">
        <v>963</v>
      </c>
      <c r="G126" t="s">
        <v>1161</v>
      </c>
      <c r="H126">
        <v>124.12</v>
      </c>
      <c r="I126">
        <v>15.040000000000001</v>
      </c>
      <c r="J126" s="1">
        <v>50793.4</v>
      </c>
      <c r="K126" s="1"/>
    </row>
    <row r="127" spans="1:11" x14ac:dyDescent="0.25">
      <c r="A127">
        <v>2015</v>
      </c>
      <c r="B127" t="s">
        <v>48</v>
      </c>
      <c r="C127" t="s">
        <v>359</v>
      </c>
      <c r="D127" t="s">
        <v>964</v>
      </c>
      <c r="E127" t="s">
        <v>965</v>
      </c>
      <c r="F127" t="s">
        <v>966</v>
      </c>
      <c r="G127" t="s">
        <v>1161</v>
      </c>
      <c r="H127">
        <v>173.52</v>
      </c>
      <c r="I127">
        <v>19.149999999999999</v>
      </c>
      <c r="J127" s="1">
        <v>70324.55</v>
      </c>
      <c r="K127" s="1"/>
    </row>
    <row r="128" spans="1:11" x14ac:dyDescent="0.25">
      <c r="A128">
        <v>2015</v>
      </c>
      <c r="B128" t="s">
        <v>48</v>
      </c>
      <c r="C128" t="s">
        <v>171</v>
      </c>
      <c r="D128" t="s">
        <v>982</v>
      </c>
      <c r="E128" t="s">
        <v>983</v>
      </c>
      <c r="F128" t="s">
        <v>984</v>
      </c>
      <c r="G128" t="s">
        <v>1161</v>
      </c>
      <c r="H128">
        <v>272.05</v>
      </c>
      <c r="I128">
        <v>17.95</v>
      </c>
      <c r="J128" s="1">
        <v>105850</v>
      </c>
      <c r="K128" s="1"/>
    </row>
    <row r="129" spans="1:11" x14ac:dyDescent="0.25">
      <c r="A129">
        <v>2015</v>
      </c>
      <c r="B129" t="s">
        <v>48</v>
      </c>
      <c r="C129" t="s">
        <v>296</v>
      </c>
      <c r="D129" t="s">
        <v>985</v>
      </c>
      <c r="E129" t="s">
        <v>986</v>
      </c>
      <c r="F129" t="s">
        <v>987</v>
      </c>
      <c r="G129" t="s">
        <v>1161</v>
      </c>
      <c r="H129">
        <v>237.96</v>
      </c>
      <c r="I129">
        <v>15.040000000000001</v>
      </c>
      <c r="J129" s="1">
        <v>92345</v>
      </c>
      <c r="K129" s="1"/>
    </row>
    <row r="130" spans="1:11" x14ac:dyDescent="0.25">
      <c r="A130">
        <v>2015</v>
      </c>
      <c r="B130" t="s">
        <v>48</v>
      </c>
      <c r="C130" t="s">
        <v>52</v>
      </c>
      <c r="D130" t="s">
        <v>988</v>
      </c>
      <c r="E130" t="s">
        <v>989</v>
      </c>
      <c r="F130" t="s">
        <v>990</v>
      </c>
      <c r="G130" t="s">
        <v>1161</v>
      </c>
      <c r="H130">
        <v>301.29000000000002</v>
      </c>
      <c r="I130">
        <v>19.149999999999999</v>
      </c>
      <c r="J130" s="1">
        <v>116960.6</v>
      </c>
      <c r="K130" s="1"/>
    </row>
    <row r="131" spans="1:11" x14ac:dyDescent="0.25">
      <c r="A131">
        <v>2015</v>
      </c>
      <c r="B131" t="s">
        <v>48</v>
      </c>
      <c r="C131" t="s">
        <v>56</v>
      </c>
      <c r="D131" t="s">
        <v>1006</v>
      </c>
      <c r="E131" t="s">
        <v>1007</v>
      </c>
      <c r="F131" t="s">
        <v>1008</v>
      </c>
      <c r="G131" t="s">
        <v>1161</v>
      </c>
      <c r="H131">
        <v>316.20999999999998</v>
      </c>
      <c r="I131">
        <v>17.900000000000002</v>
      </c>
      <c r="J131" s="1">
        <v>121950.14999999998</v>
      </c>
      <c r="K131" s="1"/>
    </row>
    <row r="132" spans="1:11" x14ac:dyDescent="0.25">
      <c r="A132">
        <v>2015</v>
      </c>
      <c r="B132" t="s">
        <v>48</v>
      </c>
      <c r="C132" t="s">
        <v>311</v>
      </c>
      <c r="D132" t="s">
        <v>1009</v>
      </c>
      <c r="E132" t="s">
        <v>1010</v>
      </c>
      <c r="F132" t="s">
        <v>1011</v>
      </c>
      <c r="G132" t="s">
        <v>1161</v>
      </c>
      <c r="H132">
        <v>272.82</v>
      </c>
      <c r="I132">
        <v>16.27</v>
      </c>
      <c r="J132" s="1">
        <v>105517.84999999999</v>
      </c>
      <c r="K132" s="1"/>
    </row>
    <row r="133" spans="1:11" x14ac:dyDescent="0.25">
      <c r="A133">
        <v>2015</v>
      </c>
      <c r="B133" t="s">
        <v>48</v>
      </c>
      <c r="C133" t="s">
        <v>303</v>
      </c>
      <c r="D133" t="s">
        <v>1012</v>
      </c>
      <c r="E133" t="s">
        <v>1013</v>
      </c>
      <c r="F133" t="s">
        <v>1014</v>
      </c>
      <c r="G133" t="s">
        <v>1161</v>
      </c>
      <c r="H133">
        <v>345.44</v>
      </c>
      <c r="I133">
        <v>21.04</v>
      </c>
      <c r="J133" s="1">
        <v>133765.20000000001</v>
      </c>
      <c r="K133" s="1"/>
    </row>
    <row r="134" spans="1:11" x14ac:dyDescent="0.25">
      <c r="A134">
        <v>2015</v>
      </c>
      <c r="B134" t="s">
        <v>48</v>
      </c>
      <c r="C134" t="s">
        <v>330</v>
      </c>
      <c r="D134" t="s">
        <v>1030</v>
      </c>
      <c r="E134" t="s">
        <v>1031</v>
      </c>
      <c r="F134" t="s">
        <v>1032</v>
      </c>
      <c r="G134" t="s">
        <v>1161</v>
      </c>
      <c r="H134">
        <v>205.36</v>
      </c>
      <c r="I134">
        <v>17.95</v>
      </c>
      <c r="J134" s="1">
        <v>81508.149999999994</v>
      </c>
      <c r="K134" s="1"/>
    </row>
    <row r="135" spans="1:11" x14ac:dyDescent="0.25">
      <c r="A135">
        <v>2015</v>
      </c>
      <c r="B135" t="s">
        <v>48</v>
      </c>
      <c r="C135" t="s">
        <v>348</v>
      </c>
      <c r="D135" t="s">
        <v>1033</v>
      </c>
      <c r="E135" t="s">
        <v>1034</v>
      </c>
      <c r="F135" t="s">
        <v>1035</v>
      </c>
      <c r="G135" t="s">
        <v>1161</v>
      </c>
      <c r="H135">
        <v>185.2</v>
      </c>
      <c r="I135">
        <v>15.040000000000001</v>
      </c>
      <c r="J135" s="1">
        <v>73087.599999999991</v>
      </c>
      <c r="K135" s="1"/>
    </row>
    <row r="136" spans="1:11" x14ac:dyDescent="0.25">
      <c r="A136">
        <v>2015</v>
      </c>
      <c r="B136" t="s">
        <v>48</v>
      </c>
      <c r="C136" t="s">
        <v>71</v>
      </c>
      <c r="D136" t="s">
        <v>1036</v>
      </c>
      <c r="E136" t="s">
        <v>1037</v>
      </c>
      <c r="F136" t="s">
        <v>1038</v>
      </c>
      <c r="G136" t="s">
        <v>1161</v>
      </c>
      <c r="H136">
        <v>234.59</v>
      </c>
      <c r="I136">
        <v>19.149999999999999</v>
      </c>
      <c r="J136" s="1">
        <v>92615.1</v>
      </c>
      <c r="K136" s="1"/>
    </row>
    <row r="137" spans="1:11" x14ac:dyDescent="0.25">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25">
      <c r="A138">
        <v>2015</v>
      </c>
      <c r="B138" t="s">
        <v>48</v>
      </c>
      <c r="C138" t="s">
        <v>293</v>
      </c>
      <c r="D138" t="s">
        <v>1054</v>
      </c>
      <c r="E138" t="s">
        <v>1055</v>
      </c>
      <c r="F138" t="s">
        <v>1056</v>
      </c>
      <c r="G138" t="s">
        <v>1161</v>
      </c>
      <c r="H138">
        <v>112.04</v>
      </c>
      <c r="I138">
        <v>17.95</v>
      </c>
      <c r="J138" s="1">
        <v>47446.350000000006</v>
      </c>
      <c r="K138" s="1"/>
    </row>
    <row r="139" spans="1:11" x14ac:dyDescent="0.25">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25">
      <c r="A140">
        <v>2015</v>
      </c>
      <c r="B140" t="s">
        <v>48</v>
      </c>
      <c r="C140" t="s">
        <v>87</v>
      </c>
      <c r="D140" t="s">
        <v>1066</v>
      </c>
      <c r="E140" t="s">
        <v>1067</v>
      </c>
      <c r="F140" t="s">
        <v>1068</v>
      </c>
      <c r="G140" t="s">
        <v>1161</v>
      </c>
      <c r="H140">
        <v>139.99</v>
      </c>
      <c r="I140">
        <v>17.95</v>
      </c>
      <c r="J140" s="1">
        <v>57648.1</v>
      </c>
      <c r="K140" s="1"/>
    </row>
    <row r="141" spans="1:11" x14ac:dyDescent="0.25">
      <c r="A141">
        <v>2015</v>
      </c>
      <c r="B141" t="s">
        <v>48</v>
      </c>
      <c r="C141" t="s">
        <v>172</v>
      </c>
      <c r="D141" t="s">
        <v>1078</v>
      </c>
      <c r="E141" t="s">
        <v>1079</v>
      </c>
      <c r="F141" t="s">
        <v>1080</v>
      </c>
      <c r="G141" t="s">
        <v>1161</v>
      </c>
      <c r="H141">
        <v>163.82</v>
      </c>
      <c r="I141">
        <v>17.95</v>
      </c>
      <c r="J141" s="1">
        <v>66346.049999999988</v>
      </c>
      <c r="K141" s="1"/>
    </row>
    <row r="142" spans="1:11" x14ac:dyDescent="0.25">
      <c r="A142">
        <v>2015</v>
      </c>
      <c r="B142" t="s">
        <v>48</v>
      </c>
      <c r="C142" t="s">
        <v>379</v>
      </c>
      <c r="D142" t="s">
        <v>1081</v>
      </c>
      <c r="E142" t="s">
        <v>1082</v>
      </c>
      <c r="F142" t="s">
        <v>1083</v>
      </c>
      <c r="G142" t="s">
        <v>1161</v>
      </c>
      <c r="H142">
        <v>149.75</v>
      </c>
      <c r="I142">
        <v>15.040000000000001</v>
      </c>
      <c r="J142" s="1">
        <v>60148.35</v>
      </c>
      <c r="K142" s="1"/>
    </row>
    <row r="143" spans="1:11" x14ac:dyDescent="0.25">
      <c r="A143">
        <v>2015</v>
      </c>
      <c r="B143" t="s">
        <v>48</v>
      </c>
      <c r="C143" t="s">
        <v>77</v>
      </c>
      <c r="D143" t="s">
        <v>1084</v>
      </c>
      <c r="E143" t="s">
        <v>1085</v>
      </c>
      <c r="F143" t="s">
        <v>1086</v>
      </c>
      <c r="G143" t="s">
        <v>1161</v>
      </c>
      <c r="H143">
        <v>184.07</v>
      </c>
      <c r="I143">
        <v>19.149999999999999</v>
      </c>
      <c r="J143" s="1">
        <v>74175.3</v>
      </c>
      <c r="K143" s="1"/>
    </row>
    <row r="144" spans="1:11" x14ac:dyDescent="0.25">
      <c r="A144">
        <v>2015</v>
      </c>
      <c r="B144" t="s">
        <v>48</v>
      </c>
      <c r="C144" t="s">
        <v>218</v>
      </c>
      <c r="D144" t="s">
        <v>1102</v>
      </c>
      <c r="E144" t="s">
        <v>1103</v>
      </c>
      <c r="F144" t="s">
        <v>1104</v>
      </c>
      <c r="G144" t="s">
        <v>1161</v>
      </c>
      <c r="H144">
        <v>210.93</v>
      </c>
      <c r="I144">
        <v>18.82</v>
      </c>
      <c r="J144" s="1">
        <v>83858.75</v>
      </c>
      <c r="K144" s="1"/>
    </row>
    <row r="145" spans="1:11" x14ac:dyDescent="0.25">
      <c r="A145">
        <v>2015</v>
      </c>
      <c r="B145" t="s">
        <v>48</v>
      </c>
      <c r="C145" t="s">
        <v>261</v>
      </c>
      <c r="D145" t="s">
        <v>1105</v>
      </c>
      <c r="E145" t="s">
        <v>1106</v>
      </c>
      <c r="F145" t="s">
        <v>1107</v>
      </c>
      <c r="G145" t="s">
        <v>1161</v>
      </c>
      <c r="H145">
        <v>188.58</v>
      </c>
      <c r="I145">
        <v>17.18</v>
      </c>
      <c r="J145" s="1">
        <v>75102.400000000009</v>
      </c>
      <c r="K145" s="1"/>
    </row>
    <row r="146" spans="1:11" x14ac:dyDescent="0.25">
      <c r="A146">
        <v>2015</v>
      </c>
      <c r="B146" t="s">
        <v>48</v>
      </c>
      <c r="C146" t="s">
        <v>208</v>
      </c>
      <c r="D146" t="s">
        <v>1108</v>
      </c>
      <c r="E146" t="s">
        <v>1109</v>
      </c>
      <c r="F146" t="s">
        <v>1110</v>
      </c>
      <c r="G146" t="s">
        <v>1161</v>
      </c>
      <c r="H146">
        <v>234.87</v>
      </c>
      <c r="I146">
        <v>21.96</v>
      </c>
      <c r="J146" s="1">
        <v>93742.95</v>
      </c>
      <c r="K146" s="1"/>
    </row>
    <row r="147" spans="1:11" x14ac:dyDescent="0.25">
      <c r="A147">
        <v>2015</v>
      </c>
      <c r="B147" t="s">
        <v>48</v>
      </c>
      <c r="C147" t="s">
        <v>189</v>
      </c>
      <c r="D147" t="s">
        <v>1126</v>
      </c>
      <c r="E147" t="s">
        <v>1127</v>
      </c>
      <c r="F147" t="s">
        <v>1128</v>
      </c>
      <c r="G147" t="s">
        <v>1161</v>
      </c>
      <c r="H147">
        <v>227.41</v>
      </c>
      <c r="I147">
        <v>22.17</v>
      </c>
      <c r="J147" s="1">
        <v>91096.7</v>
      </c>
      <c r="K147" s="1"/>
    </row>
    <row r="148" spans="1:11" x14ac:dyDescent="0.25">
      <c r="A148">
        <v>2015</v>
      </c>
      <c r="B148" t="s">
        <v>48</v>
      </c>
      <c r="C148" t="s">
        <v>85</v>
      </c>
      <c r="D148" t="s">
        <v>1129</v>
      </c>
      <c r="E148" t="s">
        <v>1130</v>
      </c>
      <c r="F148" t="s">
        <v>1131</v>
      </c>
      <c r="G148" t="s">
        <v>1161</v>
      </c>
      <c r="H148">
        <v>209.25</v>
      </c>
      <c r="I148">
        <v>19.64</v>
      </c>
      <c r="J148" s="1">
        <v>83544.849999999991</v>
      </c>
      <c r="K148" s="1"/>
    </row>
    <row r="149" spans="1:11" x14ac:dyDescent="0.25">
      <c r="A149">
        <v>2015</v>
      </c>
      <c r="B149" t="s">
        <v>48</v>
      </c>
      <c r="C149" t="s">
        <v>239</v>
      </c>
      <c r="D149" t="s">
        <v>1132</v>
      </c>
      <c r="E149" t="s">
        <v>1133</v>
      </c>
      <c r="F149" t="s">
        <v>1134</v>
      </c>
      <c r="G149" t="s">
        <v>1161</v>
      </c>
      <c r="H149">
        <v>255.53</v>
      </c>
      <c r="I149">
        <v>25.310000000000002</v>
      </c>
      <c r="J149" s="1">
        <v>102506.6</v>
      </c>
      <c r="K149" s="1"/>
    </row>
    <row r="150" spans="1:11" x14ac:dyDescent="0.25">
      <c r="A150">
        <v>2015</v>
      </c>
      <c r="B150" t="s">
        <v>47</v>
      </c>
      <c r="C150" t="s">
        <v>245</v>
      </c>
      <c r="D150" t="s">
        <v>244</v>
      </c>
      <c r="E150" t="s">
        <v>645</v>
      </c>
      <c r="F150" t="s">
        <v>1151</v>
      </c>
      <c r="G150" t="s">
        <v>47</v>
      </c>
      <c r="H150">
        <v>65.28</v>
      </c>
      <c r="J150" s="1">
        <v>23827.200000000001</v>
      </c>
      <c r="K150" s="1"/>
    </row>
    <row r="151" spans="1:11" x14ac:dyDescent="0.25">
      <c r="A151">
        <v>2015</v>
      </c>
      <c r="B151" t="s">
        <v>47</v>
      </c>
      <c r="C151" t="s">
        <v>136</v>
      </c>
      <c r="D151" t="s">
        <v>135</v>
      </c>
      <c r="E151" t="s">
        <v>646</v>
      </c>
      <c r="F151" t="s">
        <v>1152</v>
      </c>
      <c r="G151" t="s">
        <v>47</v>
      </c>
      <c r="H151">
        <v>82.93</v>
      </c>
      <c r="J151" s="1">
        <v>30269.45</v>
      </c>
      <c r="K151" s="1"/>
    </row>
    <row r="152" spans="1:11" x14ac:dyDescent="0.25">
      <c r="A152">
        <v>2015</v>
      </c>
      <c r="B152" t="s">
        <v>47</v>
      </c>
      <c r="C152" t="s">
        <v>291</v>
      </c>
      <c r="D152" t="s">
        <v>290</v>
      </c>
      <c r="E152" t="s">
        <v>648</v>
      </c>
      <c r="F152" t="s">
        <v>1154</v>
      </c>
      <c r="G152" t="s">
        <v>47</v>
      </c>
      <c r="H152">
        <v>119.61</v>
      </c>
      <c r="J152" s="1">
        <v>43657.65</v>
      </c>
      <c r="K152" s="1"/>
    </row>
    <row r="153" spans="1:11" x14ac:dyDescent="0.25">
      <c r="A153">
        <v>2015</v>
      </c>
      <c r="B153" t="s">
        <v>47</v>
      </c>
      <c r="C153" t="s">
        <v>167</v>
      </c>
      <c r="D153" t="s">
        <v>166</v>
      </c>
      <c r="E153" t="s">
        <v>650</v>
      </c>
      <c r="F153" t="s">
        <v>1156</v>
      </c>
      <c r="G153" t="s">
        <v>47</v>
      </c>
      <c r="H153">
        <v>133.61000000000001</v>
      </c>
      <c r="J153" s="1">
        <v>48767.65</v>
      </c>
      <c r="K153" s="1"/>
    </row>
    <row r="154" spans="1:11" x14ac:dyDescent="0.25">
      <c r="A154">
        <v>2015</v>
      </c>
      <c r="B154" t="s">
        <v>47</v>
      </c>
      <c r="C154" t="s">
        <v>378</v>
      </c>
      <c r="D154" t="s">
        <v>377</v>
      </c>
      <c r="E154" t="s">
        <v>652</v>
      </c>
      <c r="F154" t="s">
        <v>1158</v>
      </c>
      <c r="G154" t="s">
        <v>47</v>
      </c>
      <c r="H154">
        <v>178.43</v>
      </c>
      <c r="J154" s="1">
        <v>65126.950000000004</v>
      </c>
      <c r="K154" s="1"/>
    </row>
    <row r="155" spans="1:11" x14ac:dyDescent="0.25">
      <c r="A155">
        <v>2015</v>
      </c>
      <c r="B155" t="s">
        <v>47</v>
      </c>
      <c r="C155" t="s">
        <v>340</v>
      </c>
      <c r="D155" t="s">
        <v>339</v>
      </c>
      <c r="E155" t="s">
        <v>654</v>
      </c>
      <c r="F155" t="s">
        <v>1160</v>
      </c>
      <c r="G155" t="s">
        <v>47</v>
      </c>
      <c r="H155">
        <v>178.4</v>
      </c>
      <c r="J155" s="1">
        <v>65116</v>
      </c>
      <c r="K155" s="1"/>
    </row>
    <row r="156" spans="1:11" x14ac:dyDescent="0.25">
      <c r="A156">
        <v>2015</v>
      </c>
      <c r="B156" t="s">
        <v>47</v>
      </c>
      <c r="C156" t="s">
        <v>268</v>
      </c>
      <c r="D156" t="s">
        <v>267</v>
      </c>
      <c r="E156" t="s">
        <v>656</v>
      </c>
      <c r="F156" t="s">
        <v>711</v>
      </c>
      <c r="G156" t="s">
        <v>47</v>
      </c>
      <c r="H156">
        <v>213.26</v>
      </c>
      <c r="J156" s="1">
        <v>77839.899999999994</v>
      </c>
      <c r="K156" s="1"/>
    </row>
    <row r="157" spans="1:11" x14ac:dyDescent="0.25">
      <c r="A157">
        <v>2015</v>
      </c>
      <c r="B157" t="s">
        <v>47</v>
      </c>
      <c r="C157" t="s">
        <v>197</v>
      </c>
      <c r="D157" t="s">
        <v>196</v>
      </c>
      <c r="E157" t="s">
        <v>658</v>
      </c>
      <c r="F157" t="s">
        <v>715</v>
      </c>
      <c r="G157" t="s">
        <v>47</v>
      </c>
      <c r="H157">
        <v>243.15</v>
      </c>
      <c r="J157" s="1">
        <v>88749.75</v>
      </c>
      <c r="K157" s="1"/>
    </row>
    <row r="158" spans="1:11" x14ac:dyDescent="0.25">
      <c r="A158">
        <v>2015</v>
      </c>
      <c r="B158" t="s">
        <v>47</v>
      </c>
      <c r="C158" t="s">
        <v>576</v>
      </c>
      <c r="D158" t="s">
        <v>575</v>
      </c>
      <c r="E158" t="s">
        <v>660</v>
      </c>
      <c r="F158" t="s">
        <v>719</v>
      </c>
      <c r="G158" t="s">
        <v>47</v>
      </c>
      <c r="H158">
        <v>211.8</v>
      </c>
      <c r="J158" s="1">
        <v>77307</v>
      </c>
      <c r="K158" s="1"/>
    </row>
    <row r="159" spans="1:11" x14ac:dyDescent="0.25">
      <c r="A159">
        <v>2015</v>
      </c>
      <c r="B159" t="s">
        <v>47</v>
      </c>
      <c r="C159" t="s">
        <v>188</v>
      </c>
      <c r="D159" t="s">
        <v>187</v>
      </c>
      <c r="E159" t="s">
        <v>662</v>
      </c>
      <c r="F159" t="s">
        <v>723</v>
      </c>
      <c r="G159" t="s">
        <v>47</v>
      </c>
      <c r="H159">
        <v>262.95</v>
      </c>
      <c r="J159" s="1">
        <v>95976.75</v>
      </c>
      <c r="K159" s="1"/>
    </row>
    <row r="160" spans="1:11" x14ac:dyDescent="0.25">
      <c r="A160">
        <v>2015</v>
      </c>
      <c r="B160" t="s">
        <v>47</v>
      </c>
      <c r="C160" t="s">
        <v>158</v>
      </c>
      <c r="D160" t="s">
        <v>157</v>
      </c>
      <c r="E160" t="s">
        <v>663</v>
      </c>
      <c r="F160" t="s">
        <v>738</v>
      </c>
      <c r="G160" t="s">
        <v>47</v>
      </c>
      <c r="H160">
        <v>64.38</v>
      </c>
      <c r="J160" s="1">
        <v>23498.699999999997</v>
      </c>
      <c r="K160" s="1">
        <f>J161-J160</f>
        <v>13121.75</v>
      </c>
    </row>
    <row r="161" spans="1:11" x14ac:dyDescent="0.25">
      <c r="A161">
        <v>2015</v>
      </c>
      <c r="B161" t="s">
        <v>47</v>
      </c>
      <c r="C161" t="s">
        <v>79</v>
      </c>
      <c r="D161" t="s">
        <v>78</v>
      </c>
      <c r="E161" t="s">
        <v>664</v>
      </c>
      <c r="F161" t="s">
        <v>739</v>
      </c>
      <c r="G161" t="s">
        <v>47</v>
      </c>
      <c r="H161">
        <v>100.33</v>
      </c>
      <c r="J161" s="1">
        <v>36620.449999999997</v>
      </c>
      <c r="K161" s="1"/>
    </row>
    <row r="162" spans="1:11" x14ac:dyDescent="0.25">
      <c r="A162">
        <v>2015</v>
      </c>
      <c r="B162" t="s">
        <v>47</v>
      </c>
      <c r="C162" t="s">
        <v>252</v>
      </c>
      <c r="D162" t="s">
        <v>251</v>
      </c>
      <c r="E162" t="s">
        <v>665</v>
      </c>
      <c r="F162" t="s">
        <v>742</v>
      </c>
      <c r="G162" t="s">
        <v>47</v>
      </c>
      <c r="H162">
        <v>80.69</v>
      </c>
      <c r="J162" s="1">
        <v>29451.85</v>
      </c>
      <c r="K162" s="1">
        <f>J163-J162</f>
        <v>13118.099999999999</v>
      </c>
    </row>
    <row r="163" spans="1:11" x14ac:dyDescent="0.25">
      <c r="A163">
        <v>2015</v>
      </c>
      <c r="B163" t="s">
        <v>47</v>
      </c>
      <c r="C163" t="s">
        <v>177</v>
      </c>
      <c r="D163" t="s">
        <v>176</v>
      </c>
      <c r="E163" t="s">
        <v>666</v>
      </c>
      <c r="F163" t="s">
        <v>743</v>
      </c>
      <c r="G163" t="s">
        <v>47</v>
      </c>
      <c r="H163">
        <v>116.63</v>
      </c>
      <c r="J163" s="1">
        <v>42569.95</v>
      </c>
      <c r="K163" s="1"/>
    </row>
    <row r="164" spans="1:11" x14ac:dyDescent="0.25">
      <c r="A164">
        <v>2015</v>
      </c>
      <c r="B164" t="s">
        <v>47</v>
      </c>
      <c r="C164" t="s">
        <v>266</v>
      </c>
      <c r="D164" t="s">
        <v>265</v>
      </c>
      <c r="E164" t="s">
        <v>668</v>
      </c>
      <c r="F164" t="s">
        <v>761</v>
      </c>
      <c r="G164" t="s">
        <v>47</v>
      </c>
      <c r="H164">
        <v>130.44999999999999</v>
      </c>
      <c r="J164" s="1">
        <v>47614.249999999993</v>
      </c>
      <c r="K164" s="1"/>
    </row>
    <row r="165" spans="1:11" x14ac:dyDescent="0.25">
      <c r="A165">
        <v>2015</v>
      </c>
      <c r="B165" t="s">
        <v>47</v>
      </c>
      <c r="C165" t="s">
        <v>235</v>
      </c>
      <c r="D165" t="s">
        <v>234</v>
      </c>
      <c r="E165" t="s">
        <v>669</v>
      </c>
      <c r="F165" t="s">
        <v>762</v>
      </c>
      <c r="G165" t="s">
        <v>47</v>
      </c>
      <c r="H165">
        <v>103.39</v>
      </c>
      <c r="J165" s="1">
        <v>37737.35</v>
      </c>
      <c r="K165" s="1"/>
    </row>
    <row r="166" spans="1:11" x14ac:dyDescent="0.25">
      <c r="A166">
        <v>2015</v>
      </c>
      <c r="B166" t="s">
        <v>47</v>
      </c>
      <c r="C166" t="s">
        <v>300</v>
      </c>
      <c r="D166" t="s">
        <v>299</v>
      </c>
      <c r="E166" t="s">
        <v>670</v>
      </c>
      <c r="F166" t="s">
        <v>763</v>
      </c>
      <c r="G166" t="s">
        <v>47</v>
      </c>
      <c r="H166">
        <v>139.35</v>
      </c>
      <c r="J166" s="1">
        <v>50862.75</v>
      </c>
      <c r="K166" s="1"/>
    </row>
    <row r="167" spans="1:11" x14ac:dyDescent="0.25">
      <c r="A167">
        <v>2015</v>
      </c>
      <c r="B167" t="s">
        <v>47</v>
      </c>
      <c r="C167" t="s">
        <v>231</v>
      </c>
      <c r="D167" t="s">
        <v>230</v>
      </c>
      <c r="E167" t="s">
        <v>672</v>
      </c>
      <c r="F167" t="s">
        <v>770</v>
      </c>
      <c r="G167" t="s">
        <v>47</v>
      </c>
      <c r="H167">
        <v>143.13</v>
      </c>
      <c r="J167" s="1">
        <v>52242.45</v>
      </c>
      <c r="K167" s="1"/>
    </row>
    <row r="168" spans="1:11" x14ac:dyDescent="0.25">
      <c r="A168">
        <v>2015</v>
      </c>
      <c r="B168" t="s">
        <v>47</v>
      </c>
      <c r="C168" t="s">
        <v>318</v>
      </c>
      <c r="D168" t="s">
        <v>317</v>
      </c>
      <c r="E168" t="s">
        <v>673</v>
      </c>
      <c r="F168" t="s">
        <v>771</v>
      </c>
      <c r="G168" t="s">
        <v>47</v>
      </c>
      <c r="H168">
        <v>117.7</v>
      </c>
      <c r="J168" s="1">
        <v>42960.5</v>
      </c>
      <c r="K168" s="1"/>
    </row>
    <row r="169" spans="1:11" x14ac:dyDescent="0.25">
      <c r="A169">
        <v>2015</v>
      </c>
      <c r="B169" t="s">
        <v>47</v>
      </c>
      <c r="C169" t="s">
        <v>105</v>
      </c>
      <c r="D169" t="s">
        <v>104</v>
      </c>
      <c r="E169" t="s">
        <v>674</v>
      </c>
      <c r="F169" t="s">
        <v>772</v>
      </c>
      <c r="G169" t="s">
        <v>47</v>
      </c>
      <c r="H169">
        <v>153.65</v>
      </c>
      <c r="J169" s="1">
        <v>56082.25</v>
      </c>
      <c r="K169" s="1"/>
    </row>
    <row r="170" spans="1:11" x14ac:dyDescent="0.25">
      <c r="A170">
        <v>2015</v>
      </c>
      <c r="B170" t="s">
        <v>47</v>
      </c>
      <c r="C170" t="s">
        <v>366</v>
      </c>
      <c r="D170" t="s">
        <v>365</v>
      </c>
      <c r="E170" t="s">
        <v>676</v>
      </c>
      <c r="F170" t="s">
        <v>778</v>
      </c>
      <c r="G170" t="s">
        <v>47</v>
      </c>
      <c r="H170">
        <v>178.29</v>
      </c>
      <c r="J170" s="1">
        <v>65075.85</v>
      </c>
      <c r="K170" s="1"/>
    </row>
    <row r="171" spans="1:11" x14ac:dyDescent="0.25">
      <c r="A171">
        <v>2015</v>
      </c>
      <c r="B171" t="s">
        <v>47</v>
      </c>
      <c r="C171" t="s">
        <v>202</v>
      </c>
      <c r="D171" t="s">
        <v>201</v>
      </c>
      <c r="E171" t="s">
        <v>677</v>
      </c>
      <c r="F171" t="s">
        <v>779</v>
      </c>
      <c r="G171" t="s">
        <v>47</v>
      </c>
      <c r="H171">
        <v>144.35</v>
      </c>
      <c r="J171" s="1">
        <v>52687.75</v>
      </c>
      <c r="K171" s="1"/>
    </row>
    <row r="172" spans="1:11" x14ac:dyDescent="0.25">
      <c r="A172">
        <v>2015</v>
      </c>
      <c r="B172" t="s">
        <v>47</v>
      </c>
      <c r="C172" t="s">
        <v>350</v>
      </c>
      <c r="D172" t="s">
        <v>349</v>
      </c>
      <c r="E172" t="s">
        <v>678</v>
      </c>
      <c r="F172" t="s">
        <v>780</v>
      </c>
      <c r="G172" t="s">
        <v>47</v>
      </c>
      <c r="H172">
        <v>193.54</v>
      </c>
      <c r="J172" s="1">
        <v>70642.099999999991</v>
      </c>
      <c r="K172" s="1"/>
    </row>
    <row r="173" spans="1:11" x14ac:dyDescent="0.25">
      <c r="A173">
        <v>2015</v>
      </c>
      <c r="B173" t="s">
        <v>47</v>
      </c>
      <c r="C173" t="s">
        <v>102</v>
      </c>
      <c r="D173" t="s">
        <v>101</v>
      </c>
      <c r="E173" t="s">
        <v>680</v>
      </c>
      <c r="F173" t="s">
        <v>787</v>
      </c>
      <c r="G173" t="s">
        <v>47</v>
      </c>
      <c r="H173">
        <v>171.62</v>
      </c>
      <c r="J173" s="1">
        <v>62641.3</v>
      </c>
      <c r="K173" s="1"/>
    </row>
    <row r="174" spans="1:11" x14ac:dyDescent="0.25">
      <c r="A174">
        <v>2015</v>
      </c>
      <c r="B174" t="s">
        <v>47</v>
      </c>
      <c r="C174" t="s">
        <v>64</v>
      </c>
      <c r="D174" t="s">
        <v>63</v>
      </c>
      <c r="E174" t="s">
        <v>681</v>
      </c>
      <c r="F174" t="s">
        <v>788</v>
      </c>
      <c r="G174" t="s">
        <v>47</v>
      </c>
      <c r="H174">
        <v>138.53</v>
      </c>
      <c r="J174" s="1">
        <v>50563.45</v>
      </c>
      <c r="K174" s="1"/>
    </row>
    <row r="175" spans="1:11" x14ac:dyDescent="0.25">
      <c r="A175">
        <v>2015</v>
      </c>
      <c r="B175" t="s">
        <v>47</v>
      </c>
      <c r="C175" t="s">
        <v>223</v>
      </c>
      <c r="D175" t="s">
        <v>222</v>
      </c>
      <c r="E175" t="s">
        <v>682</v>
      </c>
      <c r="F175" t="s">
        <v>789</v>
      </c>
      <c r="G175" t="s">
        <v>47</v>
      </c>
      <c r="H175">
        <v>187.71</v>
      </c>
      <c r="J175" s="1">
        <v>68514.150000000009</v>
      </c>
      <c r="K175" s="1"/>
    </row>
    <row r="176" spans="1:11" x14ac:dyDescent="0.25">
      <c r="A176">
        <v>2015</v>
      </c>
      <c r="B176" t="s">
        <v>47</v>
      </c>
      <c r="C176" t="s">
        <v>142</v>
      </c>
      <c r="D176" t="s">
        <v>141</v>
      </c>
      <c r="E176" t="s">
        <v>684</v>
      </c>
      <c r="F176" t="s">
        <v>796</v>
      </c>
      <c r="G176" t="s">
        <v>47</v>
      </c>
      <c r="H176">
        <v>241.79</v>
      </c>
      <c r="J176" s="1">
        <v>88253.349999999991</v>
      </c>
      <c r="K176" s="1"/>
    </row>
    <row r="177" spans="1:13" x14ac:dyDescent="0.25">
      <c r="A177">
        <v>2015</v>
      </c>
      <c r="B177" t="s">
        <v>47</v>
      </c>
      <c r="C177" t="s">
        <v>329</v>
      </c>
      <c r="D177" t="s">
        <v>328</v>
      </c>
      <c r="E177" t="s">
        <v>685</v>
      </c>
      <c r="F177" t="s">
        <v>797</v>
      </c>
      <c r="G177" t="s">
        <v>47</v>
      </c>
      <c r="H177">
        <v>179.58</v>
      </c>
      <c r="J177" s="1">
        <v>65546.700000000012</v>
      </c>
      <c r="K177" s="1"/>
    </row>
    <row r="178" spans="1:13" x14ac:dyDescent="0.25">
      <c r="A178">
        <v>2015</v>
      </c>
      <c r="B178" t="s">
        <v>47</v>
      </c>
      <c r="C178" t="s">
        <v>183</v>
      </c>
      <c r="D178" t="s">
        <v>182</v>
      </c>
      <c r="E178" t="s">
        <v>686</v>
      </c>
      <c r="F178" t="s">
        <v>798</v>
      </c>
      <c r="G178" t="s">
        <v>47</v>
      </c>
      <c r="H178">
        <v>262.73</v>
      </c>
      <c r="J178" s="1">
        <v>95896.450000000012</v>
      </c>
      <c r="K178" s="1"/>
    </row>
    <row r="179" spans="1:13" x14ac:dyDescent="0.25">
      <c r="A179">
        <v>2015</v>
      </c>
      <c r="B179" t="s">
        <v>47</v>
      </c>
      <c r="C179" t="s">
        <v>250</v>
      </c>
      <c r="D179" t="s">
        <v>249</v>
      </c>
      <c r="E179" t="s">
        <v>688</v>
      </c>
      <c r="F179" t="s">
        <v>805</v>
      </c>
      <c r="G179" t="s">
        <v>47</v>
      </c>
      <c r="H179">
        <v>203.3</v>
      </c>
      <c r="J179" s="1">
        <v>74204.5</v>
      </c>
      <c r="K179" s="1"/>
    </row>
    <row r="180" spans="1:13" x14ac:dyDescent="0.25">
      <c r="A180">
        <v>2015</v>
      </c>
      <c r="B180" t="s">
        <v>47</v>
      </c>
      <c r="C180" t="s">
        <v>282</v>
      </c>
      <c r="D180" t="s">
        <v>281</v>
      </c>
      <c r="E180" t="s">
        <v>689</v>
      </c>
      <c r="F180" t="s">
        <v>806</v>
      </c>
      <c r="G180" t="s">
        <v>47</v>
      </c>
      <c r="H180">
        <v>169.36</v>
      </c>
      <c r="J180" s="1">
        <v>61816.4</v>
      </c>
      <c r="K180" s="1"/>
    </row>
    <row r="181" spans="1:13" x14ac:dyDescent="0.25">
      <c r="A181">
        <v>2015</v>
      </c>
      <c r="B181" t="s">
        <v>47</v>
      </c>
      <c r="C181" t="s">
        <v>352</v>
      </c>
      <c r="D181" t="s">
        <v>351</v>
      </c>
      <c r="E181" t="s">
        <v>690</v>
      </c>
      <c r="F181" t="s">
        <v>807</v>
      </c>
      <c r="G181" t="s">
        <v>47</v>
      </c>
      <c r="H181">
        <v>218.54</v>
      </c>
      <c r="J181" s="1">
        <v>79767.099999999991</v>
      </c>
      <c r="K181" s="1"/>
    </row>
    <row r="182" spans="1:13" x14ac:dyDescent="0.25">
      <c r="A182">
        <v>2015</v>
      </c>
      <c r="B182" t="s">
        <v>47</v>
      </c>
      <c r="C182" t="s">
        <v>126</v>
      </c>
      <c r="D182" t="s">
        <v>125</v>
      </c>
      <c r="E182" t="s">
        <v>691</v>
      </c>
      <c r="F182" t="s">
        <v>745</v>
      </c>
      <c r="G182" t="s">
        <v>47</v>
      </c>
      <c r="H182">
        <v>129.03</v>
      </c>
      <c r="J182" s="1">
        <v>47095.95</v>
      </c>
      <c r="K182" s="1"/>
    </row>
    <row r="183" spans="1:13" x14ac:dyDescent="0.25">
      <c r="A183">
        <v>2015</v>
      </c>
      <c r="B183" t="s">
        <v>47</v>
      </c>
      <c r="C183" t="s">
        <v>257</v>
      </c>
      <c r="D183" t="s">
        <v>256</v>
      </c>
      <c r="E183" t="s">
        <v>692</v>
      </c>
      <c r="F183" t="s">
        <v>748</v>
      </c>
      <c r="G183" t="s">
        <v>47</v>
      </c>
      <c r="H183">
        <v>167.75</v>
      </c>
      <c r="J183" s="1">
        <v>61228.75</v>
      </c>
      <c r="K183" s="1"/>
    </row>
    <row r="184" spans="1:13" x14ac:dyDescent="0.25">
      <c r="A184">
        <v>2015</v>
      </c>
      <c r="B184" t="s">
        <v>47</v>
      </c>
      <c r="C184" t="s">
        <v>272</v>
      </c>
      <c r="D184" t="s">
        <v>271</v>
      </c>
      <c r="E184" t="s">
        <v>693</v>
      </c>
      <c r="F184" t="s">
        <v>750</v>
      </c>
      <c r="G184" t="s">
        <v>47</v>
      </c>
      <c r="H184">
        <v>208.01</v>
      </c>
      <c r="J184" s="1">
        <v>75923.649999999994</v>
      </c>
      <c r="K184" s="1"/>
    </row>
    <row r="185" spans="1:13" x14ac:dyDescent="0.25">
      <c r="A185">
        <v>2015</v>
      </c>
      <c r="B185" t="s">
        <v>47</v>
      </c>
      <c r="C185" t="s">
        <v>241</v>
      </c>
      <c r="D185" t="s">
        <v>240</v>
      </c>
      <c r="E185" t="s">
        <v>694</v>
      </c>
      <c r="F185" t="s">
        <v>752</v>
      </c>
      <c r="G185" t="s">
        <v>47</v>
      </c>
      <c r="H185">
        <v>246.46</v>
      </c>
      <c r="J185" s="1">
        <v>89957.900000000009</v>
      </c>
      <c r="K185" s="1"/>
    </row>
    <row r="186" spans="1:13" x14ac:dyDescent="0.25">
      <c r="A186">
        <v>2015</v>
      </c>
      <c r="B186" t="s">
        <v>47</v>
      </c>
      <c r="C186" t="s">
        <v>206</v>
      </c>
      <c r="D186" t="s">
        <v>205</v>
      </c>
      <c r="E186" t="s">
        <v>695</v>
      </c>
      <c r="F186" t="s">
        <v>754</v>
      </c>
      <c r="G186" t="s">
        <v>47</v>
      </c>
      <c r="H186">
        <v>245.29</v>
      </c>
      <c r="J186" s="1">
        <v>89530.849999999991</v>
      </c>
      <c r="K186" s="1"/>
    </row>
    <row r="187" spans="1:13" x14ac:dyDescent="0.25">
      <c r="A187">
        <v>2015</v>
      </c>
      <c r="B187" t="s">
        <v>47</v>
      </c>
      <c r="C187" t="s">
        <v>566</v>
      </c>
      <c r="D187" t="s">
        <v>565</v>
      </c>
      <c r="E187" t="s">
        <v>696</v>
      </c>
      <c r="F187" t="s">
        <v>746</v>
      </c>
      <c r="G187" t="s">
        <v>47</v>
      </c>
      <c r="H187">
        <v>320.95999999999998</v>
      </c>
      <c r="J187" s="1">
        <v>117150.39999999999</v>
      </c>
      <c r="K187" s="1"/>
    </row>
    <row r="188" spans="1:13" x14ac:dyDescent="0.25">
      <c r="A188">
        <v>2015</v>
      </c>
      <c r="B188" t="s">
        <v>47</v>
      </c>
      <c r="C188" t="s">
        <v>217</v>
      </c>
      <c r="D188" t="s">
        <v>814</v>
      </c>
      <c r="E188" t="s">
        <v>815</v>
      </c>
      <c r="F188" t="s">
        <v>816</v>
      </c>
      <c r="G188" t="s">
        <v>47</v>
      </c>
      <c r="H188">
        <v>86.31</v>
      </c>
      <c r="J188" s="1">
        <v>31503.15</v>
      </c>
      <c r="K188" s="1">
        <f>J189-J188</f>
        <v>16187.75</v>
      </c>
      <c r="L188" s="40"/>
      <c r="M188" s="40"/>
    </row>
    <row r="189" spans="1:13" x14ac:dyDescent="0.25">
      <c r="A189">
        <v>2015</v>
      </c>
      <c r="B189" t="s">
        <v>47</v>
      </c>
      <c r="C189" t="s">
        <v>112</v>
      </c>
      <c r="D189" t="s">
        <v>817</v>
      </c>
      <c r="E189" t="s">
        <v>818</v>
      </c>
      <c r="F189" t="s">
        <v>819</v>
      </c>
      <c r="G189" t="s">
        <v>47</v>
      </c>
      <c r="H189">
        <v>130.66</v>
      </c>
      <c r="J189" s="1">
        <v>47690.9</v>
      </c>
      <c r="K189" s="1"/>
    </row>
    <row r="190" spans="1:13" x14ac:dyDescent="0.25">
      <c r="A190">
        <v>2015</v>
      </c>
      <c r="B190" t="s">
        <v>47</v>
      </c>
      <c r="C190" t="s">
        <v>123</v>
      </c>
      <c r="D190" t="s">
        <v>826</v>
      </c>
      <c r="E190" t="s">
        <v>827</v>
      </c>
      <c r="F190" t="s">
        <v>828</v>
      </c>
      <c r="G190" t="s">
        <v>47</v>
      </c>
      <c r="H190">
        <v>114.28</v>
      </c>
      <c r="J190" s="1">
        <v>41712.199999999997</v>
      </c>
      <c r="K190" s="1">
        <f>J191-J190</f>
        <v>14738.700000000004</v>
      </c>
    </row>
    <row r="191" spans="1:13" x14ac:dyDescent="0.25">
      <c r="A191">
        <v>2015</v>
      </c>
      <c r="B191" t="s">
        <v>47</v>
      </c>
      <c r="C191" t="s">
        <v>278</v>
      </c>
      <c r="D191" t="s">
        <v>829</v>
      </c>
      <c r="E191" t="s">
        <v>830</v>
      </c>
      <c r="F191" t="s">
        <v>831</v>
      </c>
      <c r="G191" t="s">
        <v>47</v>
      </c>
      <c r="H191">
        <v>154.66</v>
      </c>
      <c r="J191" s="1">
        <v>56450.9</v>
      </c>
      <c r="K191" s="1"/>
    </row>
    <row r="192" spans="1:13" x14ac:dyDescent="0.25">
      <c r="A192">
        <v>2015</v>
      </c>
      <c r="B192" t="s">
        <v>47</v>
      </c>
      <c r="C192" t="s">
        <v>137</v>
      </c>
      <c r="D192" t="s">
        <v>847</v>
      </c>
      <c r="E192" t="s">
        <v>848</v>
      </c>
      <c r="F192" t="s">
        <v>849</v>
      </c>
      <c r="G192" t="s">
        <v>47</v>
      </c>
      <c r="H192">
        <v>144.66</v>
      </c>
      <c r="J192" s="1">
        <v>52800.9</v>
      </c>
      <c r="K192" s="1"/>
    </row>
    <row r="193" spans="1:11" x14ac:dyDescent="0.25">
      <c r="A193">
        <v>2015</v>
      </c>
      <c r="B193" t="s">
        <v>47</v>
      </c>
      <c r="C193" t="s">
        <v>181</v>
      </c>
      <c r="D193" t="s">
        <v>850</v>
      </c>
      <c r="E193" t="s">
        <v>851</v>
      </c>
      <c r="F193" t="s">
        <v>852</v>
      </c>
      <c r="G193" t="s">
        <v>47</v>
      </c>
      <c r="H193">
        <v>123.62</v>
      </c>
      <c r="J193" s="1">
        <v>45121.3</v>
      </c>
      <c r="K193" s="1"/>
    </row>
    <row r="194" spans="1:11" x14ac:dyDescent="0.25">
      <c r="A194">
        <v>2015</v>
      </c>
      <c r="B194" t="s">
        <v>47</v>
      </c>
      <c r="C194" t="s">
        <v>301</v>
      </c>
      <c r="D194" t="s">
        <v>853</v>
      </c>
      <c r="E194" t="s">
        <v>854</v>
      </c>
      <c r="F194" t="s">
        <v>855</v>
      </c>
      <c r="G194" t="s">
        <v>47</v>
      </c>
      <c r="H194">
        <v>167.97</v>
      </c>
      <c r="J194" s="1">
        <v>61309.05</v>
      </c>
      <c r="K194" s="1"/>
    </row>
    <row r="195" spans="1:11" x14ac:dyDescent="0.25">
      <c r="A195">
        <v>2015</v>
      </c>
      <c r="B195" t="s">
        <v>47</v>
      </c>
      <c r="C195" t="s">
        <v>337</v>
      </c>
      <c r="D195" t="s">
        <v>871</v>
      </c>
      <c r="E195" t="s">
        <v>872</v>
      </c>
      <c r="F195" t="s">
        <v>873</v>
      </c>
      <c r="G195" t="s">
        <v>47</v>
      </c>
      <c r="H195">
        <v>156.43</v>
      </c>
      <c r="J195" s="1">
        <v>57096.950000000004</v>
      </c>
      <c r="K195" s="1"/>
    </row>
    <row r="196" spans="1:11" x14ac:dyDescent="0.25">
      <c r="A196">
        <v>2015</v>
      </c>
      <c r="B196" t="s">
        <v>47</v>
      </c>
      <c r="C196" t="s">
        <v>233</v>
      </c>
      <c r="D196" t="s">
        <v>874</v>
      </c>
      <c r="E196" t="s">
        <v>875</v>
      </c>
      <c r="F196" t="s">
        <v>876</v>
      </c>
      <c r="G196" t="s">
        <v>47</v>
      </c>
      <c r="H196">
        <v>139.88999999999999</v>
      </c>
      <c r="J196" s="1">
        <v>51059.85</v>
      </c>
      <c r="K196" s="1"/>
    </row>
    <row r="197" spans="1:11" x14ac:dyDescent="0.25">
      <c r="A197">
        <v>2015</v>
      </c>
      <c r="B197" t="s">
        <v>47</v>
      </c>
      <c r="C197" t="s">
        <v>273</v>
      </c>
      <c r="D197" t="s">
        <v>877</v>
      </c>
      <c r="E197" t="s">
        <v>878</v>
      </c>
      <c r="F197" t="s">
        <v>879</v>
      </c>
      <c r="G197" t="s">
        <v>47</v>
      </c>
      <c r="H197">
        <v>180.27</v>
      </c>
      <c r="J197" s="1">
        <v>65798.55</v>
      </c>
      <c r="K197" s="1"/>
    </row>
    <row r="198" spans="1:11" x14ac:dyDescent="0.25">
      <c r="A198">
        <v>2015</v>
      </c>
      <c r="B198" t="s">
        <v>47</v>
      </c>
      <c r="C198" t="s">
        <v>156</v>
      </c>
      <c r="D198" t="s">
        <v>896</v>
      </c>
      <c r="E198" t="s">
        <v>897</v>
      </c>
      <c r="F198" t="s">
        <v>898</v>
      </c>
      <c r="G198" t="s">
        <v>47</v>
      </c>
      <c r="H198">
        <v>181.68</v>
      </c>
      <c r="J198" s="1">
        <v>66313.2</v>
      </c>
      <c r="K198" s="1"/>
    </row>
    <row r="199" spans="1:11" x14ac:dyDescent="0.25">
      <c r="A199">
        <v>2015</v>
      </c>
      <c r="B199" t="s">
        <v>47</v>
      </c>
      <c r="C199" t="s">
        <v>155</v>
      </c>
      <c r="D199" t="s">
        <v>899</v>
      </c>
      <c r="E199" t="s">
        <v>900</v>
      </c>
      <c r="F199" t="s">
        <v>901</v>
      </c>
      <c r="G199" t="s">
        <v>47</v>
      </c>
      <c r="H199">
        <v>165.77</v>
      </c>
      <c r="J199" s="1">
        <v>60506.05</v>
      </c>
      <c r="K199" s="1"/>
    </row>
    <row r="200" spans="1:11" x14ac:dyDescent="0.25">
      <c r="A200">
        <v>2015</v>
      </c>
      <c r="B200" t="s">
        <v>47</v>
      </c>
      <c r="C200" t="s">
        <v>165</v>
      </c>
      <c r="D200" t="s">
        <v>902</v>
      </c>
      <c r="E200" t="s">
        <v>903</v>
      </c>
      <c r="F200" t="s">
        <v>904</v>
      </c>
      <c r="G200" t="s">
        <v>47</v>
      </c>
      <c r="H200">
        <v>210.12</v>
      </c>
      <c r="J200" s="1">
        <v>76693.8</v>
      </c>
      <c r="K200" s="1"/>
    </row>
    <row r="201" spans="1:11" x14ac:dyDescent="0.25">
      <c r="A201">
        <v>2015</v>
      </c>
      <c r="B201" t="s">
        <v>47</v>
      </c>
      <c r="C201" t="s">
        <v>364</v>
      </c>
      <c r="D201" t="s">
        <v>921</v>
      </c>
      <c r="E201" t="s">
        <v>922</v>
      </c>
      <c r="F201" t="s">
        <v>923</v>
      </c>
      <c r="G201" t="s">
        <v>47</v>
      </c>
      <c r="H201">
        <v>191.13</v>
      </c>
      <c r="J201" s="1">
        <v>69762.45</v>
      </c>
      <c r="K201" s="1"/>
    </row>
    <row r="202" spans="1:11" x14ac:dyDescent="0.25">
      <c r="A202">
        <v>2015</v>
      </c>
      <c r="B202" t="s">
        <v>47</v>
      </c>
      <c r="C202" t="s">
        <v>380</v>
      </c>
      <c r="D202" t="s">
        <v>924</v>
      </c>
      <c r="E202" t="s">
        <v>925</v>
      </c>
      <c r="F202" t="s">
        <v>926</v>
      </c>
      <c r="G202" t="s">
        <v>47</v>
      </c>
      <c r="H202">
        <v>184.16</v>
      </c>
      <c r="J202" s="1">
        <v>67218.399999999994</v>
      </c>
      <c r="K202" s="1"/>
    </row>
    <row r="203" spans="1:11" x14ac:dyDescent="0.25">
      <c r="A203">
        <v>2015</v>
      </c>
      <c r="B203" t="s">
        <v>47</v>
      </c>
      <c r="C203" t="s">
        <v>289</v>
      </c>
      <c r="D203" t="s">
        <v>927</v>
      </c>
      <c r="E203" t="s">
        <v>928</v>
      </c>
      <c r="F203" t="s">
        <v>929</v>
      </c>
      <c r="G203" t="s">
        <v>47</v>
      </c>
      <c r="H203">
        <v>224.55</v>
      </c>
      <c r="J203" s="1">
        <v>81960.75</v>
      </c>
      <c r="K203" s="1"/>
    </row>
    <row r="204" spans="1:11" x14ac:dyDescent="0.25">
      <c r="A204">
        <v>2015</v>
      </c>
      <c r="B204" t="s">
        <v>47</v>
      </c>
      <c r="C204" t="s">
        <v>68</v>
      </c>
      <c r="D204" t="s">
        <v>946</v>
      </c>
      <c r="E204" t="s">
        <v>947</v>
      </c>
      <c r="F204" t="s">
        <v>948</v>
      </c>
      <c r="G204" t="s">
        <v>47</v>
      </c>
      <c r="H204">
        <v>202.23</v>
      </c>
      <c r="J204" s="1">
        <v>73813.95</v>
      </c>
      <c r="K204" s="1"/>
    </row>
    <row r="205" spans="1:11" x14ac:dyDescent="0.25">
      <c r="A205">
        <v>2015</v>
      </c>
      <c r="B205" t="s">
        <v>47</v>
      </c>
      <c r="C205" t="s">
        <v>178</v>
      </c>
      <c r="D205" t="s">
        <v>949</v>
      </c>
      <c r="E205" t="s">
        <v>950</v>
      </c>
      <c r="F205" t="s">
        <v>951</v>
      </c>
      <c r="G205" t="s">
        <v>47</v>
      </c>
      <c r="H205">
        <v>198.47</v>
      </c>
      <c r="J205" s="1">
        <v>72441.55</v>
      </c>
      <c r="K205" s="1"/>
    </row>
    <row r="206" spans="1:11" x14ac:dyDescent="0.25">
      <c r="A206">
        <v>2015</v>
      </c>
      <c r="B206" t="s">
        <v>47</v>
      </c>
      <c r="C206" t="s">
        <v>134</v>
      </c>
      <c r="D206" t="s">
        <v>952</v>
      </c>
      <c r="E206" t="s">
        <v>953</v>
      </c>
      <c r="F206" t="s">
        <v>954</v>
      </c>
      <c r="G206" t="s">
        <v>47</v>
      </c>
      <c r="H206">
        <v>232.35</v>
      </c>
      <c r="J206" s="1">
        <v>84807.75</v>
      </c>
      <c r="K206" s="1"/>
    </row>
    <row r="207" spans="1:11" x14ac:dyDescent="0.25">
      <c r="A207">
        <v>2015</v>
      </c>
      <c r="B207" t="s">
        <v>47</v>
      </c>
      <c r="C207" t="s">
        <v>65</v>
      </c>
      <c r="D207" t="s">
        <v>970</v>
      </c>
      <c r="E207" t="s">
        <v>971</v>
      </c>
      <c r="F207" t="s">
        <v>972</v>
      </c>
      <c r="G207" t="s">
        <v>47</v>
      </c>
      <c r="H207">
        <v>152.26</v>
      </c>
      <c r="J207" s="1">
        <v>55574.899999999994</v>
      </c>
      <c r="K207" s="1"/>
    </row>
    <row r="208" spans="1:11" x14ac:dyDescent="0.25">
      <c r="A208">
        <v>2015</v>
      </c>
      <c r="B208" t="s">
        <v>47</v>
      </c>
      <c r="C208" t="s">
        <v>307</v>
      </c>
      <c r="D208" t="s">
        <v>973</v>
      </c>
      <c r="E208" t="s">
        <v>974</v>
      </c>
      <c r="F208" t="s">
        <v>975</v>
      </c>
      <c r="G208" t="s">
        <v>47</v>
      </c>
      <c r="H208">
        <v>112.95</v>
      </c>
      <c r="J208" s="1">
        <v>41226.75</v>
      </c>
      <c r="K208" s="1"/>
    </row>
    <row r="209" spans="1:11" x14ac:dyDescent="0.25">
      <c r="A209">
        <v>2015</v>
      </c>
      <c r="B209" t="s">
        <v>47</v>
      </c>
      <c r="C209" t="s">
        <v>57</v>
      </c>
      <c r="D209" t="s">
        <v>976</v>
      </c>
      <c r="E209" t="s">
        <v>977</v>
      </c>
      <c r="F209" t="s">
        <v>978</v>
      </c>
      <c r="G209" t="s">
        <v>47</v>
      </c>
      <c r="H209">
        <v>162.99</v>
      </c>
      <c r="J209" s="1">
        <v>59491.350000000006</v>
      </c>
      <c r="K209" s="1"/>
    </row>
    <row r="210" spans="1:11" x14ac:dyDescent="0.25">
      <c r="A210">
        <v>2015</v>
      </c>
      <c r="B210" t="s">
        <v>47</v>
      </c>
      <c r="C210" t="s">
        <v>88</v>
      </c>
      <c r="D210" t="s">
        <v>994</v>
      </c>
      <c r="E210" t="s">
        <v>995</v>
      </c>
      <c r="F210" t="s">
        <v>996</v>
      </c>
      <c r="G210" t="s">
        <v>47</v>
      </c>
      <c r="H210">
        <v>264.02</v>
      </c>
      <c r="J210" s="1">
        <v>96367.299999999988</v>
      </c>
      <c r="K210" s="1"/>
    </row>
    <row r="211" spans="1:11" x14ac:dyDescent="0.25">
      <c r="A211">
        <v>2015</v>
      </c>
      <c r="B211" t="s">
        <v>47</v>
      </c>
      <c r="C211" t="s">
        <v>227</v>
      </c>
      <c r="D211" t="s">
        <v>997</v>
      </c>
      <c r="E211" t="s">
        <v>998</v>
      </c>
      <c r="F211" t="s">
        <v>999</v>
      </c>
      <c r="G211" t="s">
        <v>47</v>
      </c>
      <c r="H211">
        <v>221.34</v>
      </c>
      <c r="J211" s="1">
        <v>80789.100000000006</v>
      </c>
      <c r="K211" s="1"/>
    </row>
    <row r="212" spans="1:11" x14ac:dyDescent="0.25">
      <c r="A212">
        <v>2015</v>
      </c>
      <c r="B212" t="s">
        <v>47</v>
      </c>
      <c r="C212" t="s">
        <v>186</v>
      </c>
      <c r="D212" t="s">
        <v>1000</v>
      </c>
      <c r="E212" t="s">
        <v>1001</v>
      </c>
      <c r="F212" t="s">
        <v>1002</v>
      </c>
      <c r="G212" t="s">
        <v>47</v>
      </c>
      <c r="H212">
        <v>285.47000000000003</v>
      </c>
      <c r="J212" s="1">
        <v>104196.55</v>
      </c>
      <c r="K212" s="1"/>
    </row>
    <row r="213" spans="1:11" x14ac:dyDescent="0.25">
      <c r="A213">
        <v>2015</v>
      </c>
      <c r="B213" t="s">
        <v>47</v>
      </c>
      <c r="C213" t="s">
        <v>325</v>
      </c>
      <c r="D213" t="s">
        <v>1018</v>
      </c>
      <c r="E213" t="s">
        <v>1019</v>
      </c>
      <c r="F213" t="s">
        <v>1020</v>
      </c>
      <c r="G213" t="s">
        <v>47</v>
      </c>
      <c r="H213">
        <v>306.61</v>
      </c>
      <c r="J213" s="1">
        <v>111912.65000000001</v>
      </c>
      <c r="K213" s="1"/>
    </row>
    <row r="214" spans="1:11" x14ac:dyDescent="0.25">
      <c r="A214">
        <v>2015</v>
      </c>
      <c r="B214" t="s">
        <v>47</v>
      </c>
      <c r="C214" t="s">
        <v>103</v>
      </c>
      <c r="D214" t="s">
        <v>1021</v>
      </c>
      <c r="E214" t="s">
        <v>1022</v>
      </c>
      <c r="F214" t="s">
        <v>1023</v>
      </c>
      <c r="G214" t="s">
        <v>47</v>
      </c>
      <c r="H214">
        <v>254.51</v>
      </c>
      <c r="J214" s="1">
        <v>92896.15</v>
      </c>
      <c r="K214" s="1"/>
    </row>
    <row r="215" spans="1:11" x14ac:dyDescent="0.25">
      <c r="A215">
        <v>2015</v>
      </c>
      <c r="B215" t="s">
        <v>47</v>
      </c>
      <c r="C215" t="s">
        <v>124</v>
      </c>
      <c r="D215" t="s">
        <v>1024</v>
      </c>
      <c r="E215" t="s">
        <v>1025</v>
      </c>
      <c r="F215" t="s">
        <v>1026</v>
      </c>
      <c r="G215" t="s">
        <v>47</v>
      </c>
      <c r="H215">
        <v>328.08</v>
      </c>
      <c r="J215" s="1">
        <v>119749.2</v>
      </c>
      <c r="K215" s="1"/>
    </row>
    <row r="216" spans="1:11" x14ac:dyDescent="0.25">
      <c r="A216">
        <v>2015</v>
      </c>
      <c r="B216" t="s">
        <v>47</v>
      </c>
      <c r="C216" t="s">
        <v>264</v>
      </c>
      <c r="D216" t="s">
        <v>1042</v>
      </c>
      <c r="E216" t="s">
        <v>1043</v>
      </c>
      <c r="F216" t="s">
        <v>1044</v>
      </c>
      <c r="G216" t="s">
        <v>47</v>
      </c>
      <c r="H216">
        <v>199.66</v>
      </c>
      <c r="J216" s="1">
        <v>72875.899999999994</v>
      </c>
      <c r="K216" s="1"/>
    </row>
    <row r="217" spans="1:11" x14ac:dyDescent="0.25">
      <c r="A217">
        <v>2015</v>
      </c>
      <c r="B217" t="s">
        <v>47</v>
      </c>
      <c r="C217" t="s">
        <v>376</v>
      </c>
      <c r="D217" t="s">
        <v>1045</v>
      </c>
      <c r="E217" t="s">
        <v>1046</v>
      </c>
      <c r="F217" t="s">
        <v>1047</v>
      </c>
      <c r="G217" t="s">
        <v>47</v>
      </c>
      <c r="H217">
        <v>171.09</v>
      </c>
      <c r="J217" s="1">
        <v>62447.85</v>
      </c>
      <c r="K217" s="1"/>
    </row>
    <row r="218" spans="1:11" x14ac:dyDescent="0.25">
      <c r="A218">
        <v>2015</v>
      </c>
      <c r="B218" t="s">
        <v>47</v>
      </c>
      <c r="C218" t="s">
        <v>336</v>
      </c>
      <c r="D218" t="s">
        <v>1048</v>
      </c>
      <c r="E218" t="s">
        <v>1049</v>
      </c>
      <c r="F218" t="s">
        <v>1050</v>
      </c>
      <c r="G218" t="s">
        <v>47</v>
      </c>
      <c r="H218">
        <v>221.12</v>
      </c>
      <c r="J218" s="1">
        <v>80708.800000000003</v>
      </c>
      <c r="K218" s="1"/>
    </row>
    <row r="219" spans="1:11" x14ac:dyDescent="0.25">
      <c r="A219">
        <v>2015</v>
      </c>
      <c r="B219" t="s">
        <v>47</v>
      </c>
      <c r="C219" t="s">
        <v>113</v>
      </c>
      <c r="D219" t="s">
        <v>1057</v>
      </c>
      <c r="E219" t="s">
        <v>1058</v>
      </c>
      <c r="F219" t="s">
        <v>1059</v>
      </c>
      <c r="G219" t="s">
        <v>47</v>
      </c>
      <c r="H219">
        <v>68.62</v>
      </c>
      <c r="J219" s="1">
        <v>25046.300000000003</v>
      </c>
      <c r="K219" s="1">
        <f>J220-J219</f>
        <v>15216.849999999999</v>
      </c>
    </row>
    <row r="220" spans="1:11" x14ac:dyDescent="0.25">
      <c r="A220">
        <v>2015</v>
      </c>
      <c r="B220" t="s">
        <v>47</v>
      </c>
      <c r="C220" t="s">
        <v>344</v>
      </c>
      <c r="D220" t="s">
        <v>1060</v>
      </c>
      <c r="E220" t="s">
        <v>1061</v>
      </c>
      <c r="F220" t="s">
        <v>1062</v>
      </c>
      <c r="G220" t="s">
        <v>47</v>
      </c>
      <c r="H220">
        <v>110.31</v>
      </c>
      <c r="J220" s="1">
        <v>40263.15</v>
      </c>
      <c r="K220" s="1"/>
    </row>
    <row r="221" spans="1:11" x14ac:dyDescent="0.25">
      <c r="A221">
        <v>2015</v>
      </c>
      <c r="B221" t="s">
        <v>47</v>
      </c>
      <c r="C221" t="s">
        <v>200</v>
      </c>
      <c r="D221" t="s">
        <v>1069</v>
      </c>
      <c r="E221" t="s">
        <v>1070</v>
      </c>
      <c r="F221" t="s">
        <v>1071</v>
      </c>
      <c r="G221" t="s">
        <v>47</v>
      </c>
      <c r="H221">
        <v>101.75</v>
      </c>
      <c r="J221" s="1">
        <v>37138.75</v>
      </c>
      <c r="K221" s="1">
        <f>J222-J221</f>
        <v>12680.100000000006</v>
      </c>
    </row>
    <row r="222" spans="1:11" x14ac:dyDescent="0.25">
      <c r="A222">
        <v>2015</v>
      </c>
      <c r="B222" t="s">
        <v>47</v>
      </c>
      <c r="C222" t="s">
        <v>248</v>
      </c>
      <c r="D222" t="s">
        <v>1072</v>
      </c>
      <c r="E222" t="s">
        <v>1073</v>
      </c>
      <c r="F222" t="s">
        <v>1074</v>
      </c>
      <c r="G222" t="s">
        <v>47</v>
      </c>
      <c r="H222">
        <v>136.49</v>
      </c>
      <c r="J222" s="1">
        <v>49818.850000000006</v>
      </c>
      <c r="K222" s="1"/>
    </row>
    <row r="223" spans="1:11" x14ac:dyDescent="0.25">
      <c r="A223">
        <v>2015</v>
      </c>
      <c r="B223" t="s">
        <v>47</v>
      </c>
      <c r="C223" t="s">
        <v>99</v>
      </c>
      <c r="D223" t="s">
        <v>1090</v>
      </c>
      <c r="E223" t="s">
        <v>1091</v>
      </c>
      <c r="F223" t="s">
        <v>1092</v>
      </c>
      <c r="G223" t="s">
        <v>47</v>
      </c>
      <c r="H223">
        <v>159.19999999999999</v>
      </c>
      <c r="J223" s="1">
        <v>58107.999999999993</v>
      </c>
      <c r="K223" s="1"/>
    </row>
    <row r="224" spans="1:11" x14ac:dyDescent="0.25">
      <c r="A224">
        <v>2015</v>
      </c>
      <c r="B224" t="s">
        <v>47</v>
      </c>
      <c r="C224" t="s">
        <v>286</v>
      </c>
      <c r="D224" t="s">
        <v>1093</v>
      </c>
      <c r="E224" t="s">
        <v>1094</v>
      </c>
      <c r="F224" t="s">
        <v>1095</v>
      </c>
      <c r="G224" t="s">
        <v>47</v>
      </c>
      <c r="H224">
        <v>137.33000000000001</v>
      </c>
      <c r="J224" s="1">
        <v>50125.450000000004</v>
      </c>
      <c r="K224" s="1"/>
    </row>
    <row r="225" spans="1:11" x14ac:dyDescent="0.25">
      <c r="A225">
        <v>2015</v>
      </c>
      <c r="B225" t="s">
        <v>47</v>
      </c>
      <c r="C225" t="s">
        <v>292</v>
      </c>
      <c r="D225" t="s">
        <v>1096</v>
      </c>
      <c r="E225" t="s">
        <v>1097</v>
      </c>
      <c r="F225" t="s">
        <v>1098</v>
      </c>
      <c r="G225" t="s">
        <v>47</v>
      </c>
      <c r="H225">
        <v>172.08</v>
      </c>
      <c r="J225" s="1">
        <v>62809.200000000004</v>
      </c>
      <c r="K225" s="1"/>
    </row>
    <row r="226" spans="1:11" x14ac:dyDescent="0.25">
      <c r="A226">
        <v>2015</v>
      </c>
      <c r="B226" t="s">
        <v>47</v>
      </c>
      <c r="C226" t="s">
        <v>203</v>
      </c>
      <c r="D226" t="s">
        <v>1114</v>
      </c>
      <c r="E226" t="s">
        <v>1115</v>
      </c>
      <c r="F226" t="s">
        <v>1116</v>
      </c>
      <c r="G226" t="s">
        <v>47</v>
      </c>
      <c r="H226">
        <v>204.76</v>
      </c>
      <c r="J226" s="1">
        <v>74737.399999999994</v>
      </c>
      <c r="K226" s="1"/>
    </row>
    <row r="227" spans="1:11" x14ac:dyDescent="0.25">
      <c r="A227">
        <v>2015</v>
      </c>
      <c r="B227" t="s">
        <v>47</v>
      </c>
      <c r="C227" t="s">
        <v>58</v>
      </c>
      <c r="D227" t="s">
        <v>1117</v>
      </c>
      <c r="E227" t="s">
        <v>1118</v>
      </c>
      <c r="F227" t="s">
        <v>1119</v>
      </c>
      <c r="G227" t="s">
        <v>47</v>
      </c>
      <c r="H227">
        <v>174.32</v>
      </c>
      <c r="J227" s="1">
        <v>63626.799999999996</v>
      </c>
      <c r="K227" s="1"/>
    </row>
    <row r="228" spans="1:11" x14ac:dyDescent="0.25">
      <c r="A228">
        <v>2015</v>
      </c>
      <c r="B228" t="s">
        <v>47</v>
      </c>
      <c r="C228" t="s">
        <v>138</v>
      </c>
      <c r="D228" t="s">
        <v>1120</v>
      </c>
      <c r="E228" t="s">
        <v>1121</v>
      </c>
      <c r="F228" t="s">
        <v>1122</v>
      </c>
      <c r="G228" t="s">
        <v>47</v>
      </c>
      <c r="H228">
        <v>221.2</v>
      </c>
      <c r="J228" s="1">
        <v>80738</v>
      </c>
      <c r="K228" s="1"/>
    </row>
    <row r="229" spans="1:11" x14ac:dyDescent="0.25">
      <c r="A229">
        <v>2015</v>
      </c>
      <c r="B229" t="s">
        <v>47</v>
      </c>
      <c r="C229" t="s">
        <v>356</v>
      </c>
      <c r="D229" t="s">
        <v>1138</v>
      </c>
      <c r="E229" t="s">
        <v>1139</v>
      </c>
      <c r="F229" t="s">
        <v>1140</v>
      </c>
      <c r="G229" t="s">
        <v>47</v>
      </c>
      <c r="H229">
        <v>220.46</v>
      </c>
      <c r="J229" s="1">
        <v>80467.900000000009</v>
      </c>
      <c r="K229" s="1"/>
    </row>
    <row r="230" spans="1:11" x14ac:dyDescent="0.25">
      <c r="A230">
        <v>2015</v>
      </c>
      <c r="B230" t="s">
        <v>47</v>
      </c>
      <c r="C230" t="s">
        <v>258</v>
      </c>
      <c r="D230" t="s">
        <v>1141</v>
      </c>
      <c r="E230" t="s">
        <v>1142</v>
      </c>
      <c r="F230" t="s">
        <v>1143</v>
      </c>
      <c r="G230" t="s">
        <v>47</v>
      </c>
      <c r="H230">
        <v>193.99</v>
      </c>
      <c r="J230" s="1">
        <v>70806.350000000006</v>
      </c>
      <c r="K230" s="1"/>
    </row>
    <row r="231" spans="1:11" x14ac:dyDescent="0.25">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K50"/>
  <sheetViews>
    <sheetView topLeftCell="A34" workbookViewId="0">
      <selection activeCell="K49" sqref="A1:K49"/>
    </sheetView>
  </sheetViews>
  <sheetFormatPr defaultRowHeight="15" x14ac:dyDescent="0.25"/>
  <cols>
    <col min="4" max="4" width="9.28515625" style="28"/>
    <col min="6" max="6" width="9.28515625" style="28"/>
  </cols>
  <sheetData>
    <row r="1" spans="1:11" ht="15.75" thickBot="1" x14ac:dyDescent="0.3">
      <c r="A1" s="6" t="s">
        <v>1161</v>
      </c>
      <c r="B1" s="7" t="s">
        <v>1161</v>
      </c>
      <c r="C1" s="7" t="s">
        <v>1253</v>
      </c>
      <c r="D1" s="7"/>
      <c r="E1" s="7" t="s">
        <v>1255</v>
      </c>
      <c r="F1" s="7"/>
      <c r="G1" s="7" t="s">
        <v>1542</v>
      </c>
      <c r="H1" s="7" t="s">
        <v>1543</v>
      </c>
      <c r="I1" s="7" t="s">
        <v>1256</v>
      </c>
      <c r="J1" s="7" t="s">
        <v>1257</v>
      </c>
      <c r="K1" s="22" t="s">
        <v>1316</v>
      </c>
    </row>
    <row r="2" spans="1:11" ht="15.75" thickBot="1" x14ac:dyDescent="0.3">
      <c r="A2" s="9"/>
      <c r="B2" s="10" t="s">
        <v>1258</v>
      </c>
      <c r="C2" s="10"/>
      <c r="D2" s="10"/>
      <c r="E2" s="10"/>
      <c r="F2" s="10"/>
      <c r="G2" s="10"/>
      <c r="H2" s="10"/>
      <c r="I2" s="10" t="s">
        <v>1261</v>
      </c>
      <c r="J2" s="10"/>
    </row>
    <row r="3" spans="1:11" ht="15.75" thickBot="1" x14ac:dyDescent="0.3">
      <c r="A3" s="12" t="s">
        <v>1263</v>
      </c>
      <c r="B3" s="13">
        <v>860</v>
      </c>
      <c r="C3" s="16">
        <v>1497</v>
      </c>
      <c r="D3" s="16"/>
      <c r="E3" s="16">
        <v>1281</v>
      </c>
      <c r="F3" s="16"/>
      <c r="G3" s="16">
        <v>10907</v>
      </c>
      <c r="H3" s="16">
        <v>10974</v>
      </c>
      <c r="I3" s="16">
        <v>3357</v>
      </c>
      <c r="J3" s="16">
        <v>28016</v>
      </c>
      <c r="K3" s="15">
        <v>24659</v>
      </c>
    </row>
    <row r="4" spans="1:11" ht="15.75" thickBot="1" x14ac:dyDescent="0.3">
      <c r="A4" s="17" t="s">
        <v>1265</v>
      </c>
      <c r="B4" s="18">
        <v>862</v>
      </c>
      <c r="C4" s="20">
        <v>1497</v>
      </c>
      <c r="D4" s="20"/>
      <c r="E4" s="20">
        <v>1281</v>
      </c>
      <c r="F4" s="20"/>
      <c r="G4" s="20">
        <v>16866</v>
      </c>
      <c r="H4" s="20">
        <v>10974</v>
      </c>
      <c r="I4" s="20">
        <v>3357</v>
      </c>
      <c r="J4" s="20">
        <v>33975</v>
      </c>
      <c r="K4" s="15">
        <v>30618</v>
      </c>
    </row>
    <row r="5" spans="1:11" ht="15.75" thickBot="1" x14ac:dyDescent="0.3">
      <c r="A5" s="12" t="s">
        <v>1266</v>
      </c>
      <c r="B5" s="13">
        <v>864</v>
      </c>
      <c r="C5" s="16">
        <v>1497</v>
      </c>
      <c r="D5" s="16"/>
      <c r="E5" s="16">
        <v>1281</v>
      </c>
      <c r="F5" s="16"/>
      <c r="G5" s="16">
        <v>22788</v>
      </c>
      <c r="H5" s="16">
        <v>10974</v>
      </c>
      <c r="I5" s="16">
        <v>3357</v>
      </c>
      <c r="J5" s="16">
        <v>39897</v>
      </c>
      <c r="K5" s="15">
        <v>36540</v>
      </c>
    </row>
    <row r="6" spans="1:11" ht="15.75" thickBot="1" x14ac:dyDescent="0.3">
      <c r="A6" s="17" t="s">
        <v>1267</v>
      </c>
      <c r="B6" s="18">
        <v>766</v>
      </c>
      <c r="C6" s="20">
        <v>8220</v>
      </c>
      <c r="D6" s="20"/>
      <c r="E6" s="20">
        <v>3845</v>
      </c>
      <c r="F6" s="20"/>
      <c r="G6" s="20">
        <v>16866</v>
      </c>
      <c r="H6" s="20">
        <v>10974</v>
      </c>
      <c r="I6" s="20">
        <v>3357</v>
      </c>
      <c r="J6" s="20">
        <v>43262</v>
      </c>
      <c r="K6" s="15">
        <v>39905</v>
      </c>
    </row>
    <row r="7" spans="1:11" ht="15.75" thickBot="1" x14ac:dyDescent="0.3">
      <c r="A7" s="12" t="s">
        <v>1268</v>
      </c>
      <c r="B7" s="13">
        <v>768</v>
      </c>
      <c r="C7" s="16">
        <v>4491</v>
      </c>
      <c r="D7" s="16"/>
      <c r="E7" s="16">
        <v>3845</v>
      </c>
      <c r="F7" s="16"/>
      <c r="G7" s="16">
        <v>22788</v>
      </c>
      <c r="H7" s="16">
        <v>13721</v>
      </c>
      <c r="I7" s="16">
        <v>3357</v>
      </c>
      <c r="J7" s="16">
        <v>48202</v>
      </c>
      <c r="K7" s="15">
        <v>44845</v>
      </c>
    </row>
    <row r="8" spans="1:11" ht="15.75" thickBot="1" x14ac:dyDescent="0.3">
      <c r="A8" s="17" t="s">
        <v>1269</v>
      </c>
      <c r="B8" s="18">
        <v>770</v>
      </c>
      <c r="C8" s="20">
        <v>12711</v>
      </c>
      <c r="D8" s="20"/>
      <c r="E8" s="20">
        <v>7690</v>
      </c>
      <c r="F8" s="20"/>
      <c r="G8" s="20">
        <v>22788</v>
      </c>
      <c r="H8" s="20">
        <v>10974</v>
      </c>
      <c r="I8" s="20">
        <v>3357</v>
      </c>
      <c r="J8" s="20">
        <v>57520</v>
      </c>
      <c r="K8" s="15">
        <v>54163</v>
      </c>
    </row>
    <row r="9" spans="1:11" ht="15.75" thickBot="1" x14ac:dyDescent="0.3">
      <c r="A9" s="12" t="s">
        <v>1270</v>
      </c>
      <c r="B9" s="13">
        <v>772</v>
      </c>
      <c r="C9" s="16">
        <v>8220</v>
      </c>
      <c r="D9" s="16"/>
      <c r="E9" s="16">
        <v>7690</v>
      </c>
      <c r="F9" s="16"/>
      <c r="G9" s="16">
        <v>35682</v>
      </c>
      <c r="H9" s="16">
        <v>13721</v>
      </c>
      <c r="I9" s="16">
        <v>3357</v>
      </c>
      <c r="J9" s="16">
        <v>68670</v>
      </c>
      <c r="K9" s="15">
        <v>65313</v>
      </c>
    </row>
    <row r="10" spans="1:11" ht="15.75" thickBot="1" x14ac:dyDescent="0.3">
      <c r="A10" s="17" t="s">
        <v>1238</v>
      </c>
      <c r="B10" s="18">
        <v>780</v>
      </c>
      <c r="C10" s="20">
        <v>4491</v>
      </c>
      <c r="D10" s="20"/>
      <c r="E10" s="18">
        <v>0</v>
      </c>
      <c r="F10" s="18"/>
      <c r="G10" s="20">
        <v>16866</v>
      </c>
      <c r="H10" s="20">
        <v>2744</v>
      </c>
      <c r="I10" s="20">
        <v>3357</v>
      </c>
      <c r="J10" s="20">
        <v>27458</v>
      </c>
      <c r="K10" s="15">
        <v>24101</v>
      </c>
    </row>
    <row r="11" spans="1:11" ht="15.75" thickBot="1" x14ac:dyDescent="0.3">
      <c r="A11" s="12" t="s">
        <v>1239</v>
      </c>
      <c r="B11" s="13">
        <v>781</v>
      </c>
      <c r="C11" s="16">
        <v>4491</v>
      </c>
      <c r="D11" s="16"/>
      <c r="E11" s="13">
        <v>0</v>
      </c>
      <c r="F11" s="13"/>
      <c r="G11" s="16">
        <v>28748</v>
      </c>
      <c r="H11" s="16">
        <v>2744</v>
      </c>
      <c r="I11" s="16">
        <v>3357</v>
      </c>
      <c r="J11" s="16">
        <v>39340</v>
      </c>
      <c r="K11" s="15">
        <v>35983</v>
      </c>
    </row>
    <row r="12" spans="1:11" ht="15.75" thickBot="1" x14ac:dyDescent="0.3">
      <c r="A12" s="17" t="s">
        <v>1240</v>
      </c>
      <c r="B12" s="18">
        <v>782</v>
      </c>
      <c r="C12" s="20">
        <v>12711</v>
      </c>
      <c r="D12" s="20"/>
      <c r="E12" s="18">
        <v>0</v>
      </c>
      <c r="F12" s="18"/>
      <c r="G12" s="20">
        <v>28748</v>
      </c>
      <c r="H12" s="20">
        <v>2744</v>
      </c>
      <c r="I12" s="20">
        <v>3357</v>
      </c>
      <c r="J12" s="20">
        <v>47560</v>
      </c>
      <c r="K12" s="15">
        <v>44203</v>
      </c>
    </row>
    <row r="13" spans="1:11" ht="15.75" thickBot="1" x14ac:dyDescent="0.3">
      <c r="A13" s="12" t="s">
        <v>1241</v>
      </c>
      <c r="B13" s="13">
        <v>783</v>
      </c>
      <c r="C13" s="16">
        <v>17176</v>
      </c>
      <c r="D13" s="16"/>
      <c r="E13" s="13">
        <v>0</v>
      </c>
      <c r="F13" s="13"/>
      <c r="G13" s="16">
        <v>35682</v>
      </c>
      <c r="H13" s="16">
        <v>5487</v>
      </c>
      <c r="I13" s="16">
        <v>3357</v>
      </c>
      <c r="J13" s="16">
        <v>61702</v>
      </c>
      <c r="K13" s="15">
        <v>58345</v>
      </c>
    </row>
    <row r="14" spans="1:11" ht="15.75" thickBot="1" x14ac:dyDescent="0.3">
      <c r="A14" s="17" t="s">
        <v>1242</v>
      </c>
      <c r="B14" s="18">
        <v>784</v>
      </c>
      <c r="C14" s="20">
        <v>17176</v>
      </c>
      <c r="D14" s="20"/>
      <c r="E14" s="18">
        <v>0</v>
      </c>
      <c r="F14" s="18"/>
      <c r="G14" s="20">
        <v>35682</v>
      </c>
      <c r="H14" s="20">
        <v>5487</v>
      </c>
      <c r="I14" s="20">
        <v>3357</v>
      </c>
      <c r="J14" s="20">
        <v>61702</v>
      </c>
      <c r="K14" s="15">
        <v>58345</v>
      </c>
    </row>
    <row r="15" spans="1:11" ht="15.75" thickBot="1" x14ac:dyDescent="0.3">
      <c r="A15" s="12" t="s">
        <v>1243</v>
      </c>
      <c r="B15" s="13">
        <v>790</v>
      </c>
      <c r="C15" s="16">
        <v>8220</v>
      </c>
      <c r="D15" s="16"/>
      <c r="E15" s="13">
        <v>0</v>
      </c>
      <c r="F15" s="13"/>
      <c r="G15" s="16">
        <v>35682</v>
      </c>
      <c r="H15" s="16">
        <v>8232</v>
      </c>
      <c r="I15" s="16">
        <v>3357</v>
      </c>
      <c r="J15" s="16">
        <v>55491</v>
      </c>
      <c r="K15" s="15">
        <v>52134</v>
      </c>
    </row>
    <row r="16" spans="1:11" ht="15.75" thickBot="1" x14ac:dyDescent="0.3">
      <c r="A16" s="17" t="s">
        <v>1230</v>
      </c>
      <c r="B16" s="18">
        <v>800</v>
      </c>
      <c r="C16" s="20">
        <v>4491</v>
      </c>
      <c r="D16" s="20"/>
      <c r="E16" s="18">
        <v>0</v>
      </c>
      <c r="F16" s="18"/>
      <c r="G16" s="20">
        <v>10907</v>
      </c>
      <c r="H16" s="20">
        <v>13721</v>
      </c>
      <c r="I16" s="20">
        <v>3357</v>
      </c>
      <c r="J16" s="20">
        <v>32476</v>
      </c>
      <c r="K16" s="15">
        <v>29119</v>
      </c>
    </row>
    <row r="17" spans="1:11" ht="15.75" thickBot="1" x14ac:dyDescent="0.3">
      <c r="A17" s="12" t="s">
        <v>1231</v>
      </c>
      <c r="B17" s="13">
        <v>802</v>
      </c>
      <c r="C17" s="16">
        <v>4491</v>
      </c>
      <c r="D17" s="16"/>
      <c r="E17" s="13">
        <v>0</v>
      </c>
      <c r="F17" s="13"/>
      <c r="G17" s="16">
        <v>16866</v>
      </c>
      <c r="H17" s="16">
        <v>13721</v>
      </c>
      <c r="I17" s="16">
        <v>3357</v>
      </c>
      <c r="J17" s="16">
        <v>38435</v>
      </c>
      <c r="K17" s="15">
        <v>35078</v>
      </c>
    </row>
    <row r="18" spans="1:11" ht="15.75" thickBot="1" x14ac:dyDescent="0.3">
      <c r="A18" s="17" t="s">
        <v>1232</v>
      </c>
      <c r="B18" s="18">
        <v>804</v>
      </c>
      <c r="C18" s="20">
        <v>1497</v>
      </c>
      <c r="D18" s="20"/>
      <c r="E18" s="18">
        <v>0</v>
      </c>
      <c r="F18" s="18"/>
      <c r="G18" s="20">
        <v>22788</v>
      </c>
      <c r="H18" s="20">
        <v>16170</v>
      </c>
      <c r="I18" s="20">
        <v>3357</v>
      </c>
      <c r="J18" s="20">
        <v>43812</v>
      </c>
      <c r="K18" s="15">
        <v>40455</v>
      </c>
    </row>
    <row r="19" spans="1:11" ht="15.75" thickBot="1" x14ac:dyDescent="0.3">
      <c r="A19" s="12" t="s">
        <v>1233</v>
      </c>
      <c r="B19" s="13">
        <v>806</v>
      </c>
      <c r="C19" s="16">
        <v>4491</v>
      </c>
      <c r="D19" s="16"/>
      <c r="E19" s="16">
        <v>1281</v>
      </c>
      <c r="F19" s="16"/>
      <c r="G19" s="16">
        <v>22788</v>
      </c>
      <c r="H19" s="16">
        <v>16170</v>
      </c>
      <c r="I19" s="16">
        <v>3357</v>
      </c>
      <c r="J19" s="16">
        <v>48087</v>
      </c>
      <c r="K19" s="15">
        <v>44730</v>
      </c>
    </row>
    <row r="20" spans="1:11" ht="15.75" thickBot="1" x14ac:dyDescent="0.3">
      <c r="A20" s="17" t="s">
        <v>1234</v>
      </c>
      <c r="B20" s="18">
        <v>808</v>
      </c>
      <c r="C20" s="20">
        <v>12711</v>
      </c>
      <c r="D20" s="20"/>
      <c r="E20" s="20">
        <v>3845</v>
      </c>
      <c r="F20" s="20"/>
      <c r="G20" s="20">
        <v>22788</v>
      </c>
      <c r="H20" s="20">
        <v>18622</v>
      </c>
      <c r="I20" s="20">
        <v>3357</v>
      </c>
      <c r="J20" s="20">
        <v>61323</v>
      </c>
      <c r="K20" s="15">
        <v>57966</v>
      </c>
    </row>
    <row r="21" spans="1:11" ht="15.75" thickBot="1" x14ac:dyDescent="0.3">
      <c r="A21" s="12" t="s">
        <v>1235</v>
      </c>
      <c r="B21" s="13">
        <v>810</v>
      </c>
      <c r="C21" s="16">
        <v>4491</v>
      </c>
      <c r="D21" s="16"/>
      <c r="E21" s="13">
        <v>0</v>
      </c>
      <c r="F21" s="13"/>
      <c r="G21" s="16">
        <v>28748</v>
      </c>
      <c r="H21" s="16">
        <v>21072</v>
      </c>
      <c r="I21" s="16">
        <v>3357</v>
      </c>
      <c r="J21" s="16">
        <v>57668</v>
      </c>
      <c r="K21" s="15">
        <v>54311</v>
      </c>
    </row>
    <row r="22" spans="1:11" ht="15.75" thickBot="1" x14ac:dyDescent="0.3">
      <c r="A22" s="17" t="s">
        <v>1236</v>
      </c>
      <c r="B22" s="18">
        <v>812</v>
      </c>
      <c r="C22" s="20">
        <v>12711</v>
      </c>
      <c r="D22" s="20"/>
      <c r="E22" s="20">
        <v>1281</v>
      </c>
      <c r="F22" s="20"/>
      <c r="G22" s="20">
        <v>35682</v>
      </c>
      <c r="H22" s="20">
        <v>23523</v>
      </c>
      <c r="I22" s="20">
        <v>3357</v>
      </c>
      <c r="J22" s="20">
        <v>76554</v>
      </c>
      <c r="K22" s="15">
        <v>73197</v>
      </c>
    </row>
    <row r="23" spans="1:11" ht="15.75" thickBot="1" x14ac:dyDescent="0.3">
      <c r="A23" s="12" t="s">
        <v>1237</v>
      </c>
      <c r="B23" s="13">
        <v>814</v>
      </c>
      <c r="C23" s="16">
        <v>26894</v>
      </c>
      <c r="D23" s="16"/>
      <c r="E23" s="16">
        <v>7690</v>
      </c>
      <c r="F23" s="16"/>
      <c r="G23" s="16">
        <v>10907</v>
      </c>
      <c r="H23" s="16">
        <v>18622</v>
      </c>
      <c r="I23" s="16">
        <v>3357</v>
      </c>
      <c r="J23" s="16">
        <v>67470</v>
      </c>
      <c r="K23" s="15">
        <v>64113</v>
      </c>
    </row>
    <row r="24" spans="1:11" ht="15.75" thickBot="1" x14ac:dyDescent="0.3">
      <c r="A24" s="17" t="s">
        <v>1198</v>
      </c>
      <c r="B24" s="18">
        <v>820</v>
      </c>
      <c r="C24" s="20">
        <v>4491</v>
      </c>
      <c r="D24" s="20"/>
      <c r="E24" s="20">
        <v>1281</v>
      </c>
      <c r="F24" s="20"/>
      <c r="G24" s="20">
        <v>16866</v>
      </c>
      <c r="H24" s="20">
        <v>16170</v>
      </c>
      <c r="I24" s="20">
        <v>3357</v>
      </c>
      <c r="J24" s="20">
        <v>42165</v>
      </c>
      <c r="K24" s="15">
        <v>38808</v>
      </c>
    </row>
    <row r="25" spans="1:11" ht="15.75" thickBot="1" x14ac:dyDescent="0.3">
      <c r="A25" s="12" t="s">
        <v>1199</v>
      </c>
      <c r="B25" s="13">
        <v>822</v>
      </c>
      <c r="C25" s="16">
        <v>12711</v>
      </c>
      <c r="D25" s="16"/>
      <c r="E25" s="16">
        <v>1281</v>
      </c>
      <c r="F25" s="16"/>
      <c r="G25" s="16">
        <v>16866</v>
      </c>
      <c r="H25" s="16">
        <v>16170</v>
      </c>
      <c r="I25" s="16">
        <v>3357</v>
      </c>
      <c r="J25" s="16">
        <v>50385</v>
      </c>
      <c r="K25" s="15">
        <v>47028</v>
      </c>
    </row>
    <row r="26" spans="1:11" ht="15.75" thickBot="1" x14ac:dyDescent="0.3">
      <c r="A26" s="17" t="s">
        <v>1200</v>
      </c>
      <c r="B26" s="18">
        <v>824</v>
      </c>
      <c r="C26" s="20">
        <v>12711</v>
      </c>
      <c r="D26" s="20"/>
      <c r="E26" s="20">
        <v>1281</v>
      </c>
      <c r="F26" s="20"/>
      <c r="G26" s="20">
        <v>10907</v>
      </c>
      <c r="H26" s="20">
        <v>18622</v>
      </c>
      <c r="I26" s="20">
        <v>3357</v>
      </c>
      <c r="J26" s="20">
        <v>46878</v>
      </c>
      <c r="K26" s="15">
        <v>43521</v>
      </c>
    </row>
    <row r="27" spans="1:11" ht="15.75" thickBot="1" x14ac:dyDescent="0.3">
      <c r="A27" s="12" t="s">
        <v>1201</v>
      </c>
      <c r="B27" s="13">
        <v>826</v>
      </c>
      <c r="C27" s="16">
        <v>12711</v>
      </c>
      <c r="D27" s="16"/>
      <c r="E27" s="16">
        <v>1281</v>
      </c>
      <c r="F27" s="16"/>
      <c r="G27" s="16">
        <v>16866</v>
      </c>
      <c r="H27" s="16">
        <v>16170</v>
      </c>
      <c r="I27" s="16">
        <v>3357</v>
      </c>
      <c r="J27" s="16">
        <v>50385</v>
      </c>
      <c r="K27" s="15">
        <v>47028</v>
      </c>
    </row>
    <row r="28" spans="1:11" ht="15.75" thickBot="1" x14ac:dyDescent="0.3">
      <c r="A28" s="17" t="s">
        <v>1202</v>
      </c>
      <c r="B28" s="18">
        <v>828</v>
      </c>
      <c r="C28" s="20">
        <v>17176</v>
      </c>
      <c r="D28" s="20"/>
      <c r="E28" s="20">
        <v>3845</v>
      </c>
      <c r="F28" s="20"/>
      <c r="G28" s="20">
        <v>16866</v>
      </c>
      <c r="H28" s="20">
        <v>18622</v>
      </c>
      <c r="I28" s="20">
        <v>3357</v>
      </c>
      <c r="J28" s="20">
        <v>59866</v>
      </c>
      <c r="K28" s="15">
        <v>56509</v>
      </c>
    </row>
    <row r="29" spans="1:11" ht="15.75" thickBot="1" x14ac:dyDescent="0.3">
      <c r="A29" s="12" t="s">
        <v>1203</v>
      </c>
      <c r="B29" s="13">
        <v>830</v>
      </c>
      <c r="C29" s="16">
        <v>21667</v>
      </c>
      <c r="D29" s="16"/>
      <c r="E29" s="16">
        <v>7690</v>
      </c>
      <c r="F29" s="16"/>
      <c r="G29" s="16">
        <v>16866</v>
      </c>
      <c r="H29" s="16">
        <v>16170</v>
      </c>
      <c r="I29" s="16">
        <v>3357</v>
      </c>
      <c r="J29" s="16">
        <v>65750</v>
      </c>
      <c r="K29" s="15">
        <v>62393</v>
      </c>
    </row>
    <row r="30" spans="1:11" ht="15.75" thickBot="1" x14ac:dyDescent="0.3">
      <c r="A30" s="17" t="s">
        <v>1204</v>
      </c>
      <c r="B30" s="18">
        <v>832</v>
      </c>
      <c r="C30" s="20">
        <v>21667</v>
      </c>
      <c r="D30" s="20"/>
      <c r="E30" s="20">
        <v>7690</v>
      </c>
      <c r="F30" s="20"/>
      <c r="G30" s="20">
        <v>22788</v>
      </c>
      <c r="H30" s="20">
        <v>13721</v>
      </c>
      <c r="I30" s="20">
        <v>3357</v>
      </c>
      <c r="J30" s="20">
        <v>69223</v>
      </c>
      <c r="K30" s="15">
        <v>65866</v>
      </c>
    </row>
    <row r="31" spans="1:11" ht="15.75" thickBot="1" x14ac:dyDescent="0.3">
      <c r="A31" s="12" t="s">
        <v>1209</v>
      </c>
      <c r="B31" s="13">
        <v>840</v>
      </c>
      <c r="C31" s="16">
        <v>4491</v>
      </c>
      <c r="D31" s="16"/>
      <c r="E31" s="13">
        <v>0</v>
      </c>
      <c r="F31" s="13"/>
      <c r="G31" s="16">
        <v>10907</v>
      </c>
      <c r="H31" s="16">
        <v>16170</v>
      </c>
      <c r="I31" s="16">
        <v>3357</v>
      </c>
      <c r="J31" s="16">
        <v>34925</v>
      </c>
      <c r="K31" s="15">
        <v>31568</v>
      </c>
    </row>
    <row r="32" spans="1:11" ht="15.75" thickBot="1" x14ac:dyDescent="0.3">
      <c r="A32" s="17" t="s">
        <v>1210</v>
      </c>
      <c r="B32" s="18">
        <v>842</v>
      </c>
      <c r="C32" s="20">
        <v>4491</v>
      </c>
      <c r="D32" s="20"/>
      <c r="E32" s="18">
        <v>0</v>
      </c>
      <c r="F32" s="18"/>
      <c r="G32" s="20">
        <v>22788</v>
      </c>
      <c r="H32" s="20">
        <v>13721</v>
      </c>
      <c r="I32" s="20">
        <v>3357</v>
      </c>
      <c r="J32" s="20">
        <v>44357</v>
      </c>
      <c r="K32" s="15">
        <v>41000</v>
      </c>
    </row>
    <row r="33" spans="1:11" ht="15.75" thickBot="1" x14ac:dyDescent="0.3">
      <c r="A33" s="12" t="s">
        <v>1211</v>
      </c>
      <c r="B33" s="13">
        <v>844</v>
      </c>
      <c r="C33" s="16">
        <v>8220</v>
      </c>
      <c r="D33" s="16"/>
      <c r="E33" s="16">
        <v>3845</v>
      </c>
      <c r="F33" s="16"/>
      <c r="G33" s="16">
        <v>22788</v>
      </c>
      <c r="H33" s="16">
        <v>13721</v>
      </c>
      <c r="I33" s="16">
        <v>3357</v>
      </c>
      <c r="J33" s="16">
        <v>51931</v>
      </c>
      <c r="K33" s="15">
        <v>48574</v>
      </c>
    </row>
    <row r="34" spans="1:11" ht="15.75" thickBot="1" x14ac:dyDescent="0.3">
      <c r="A34" s="17" t="s">
        <v>1212</v>
      </c>
      <c r="B34" s="18">
        <v>846</v>
      </c>
      <c r="C34" s="20">
        <v>21667</v>
      </c>
      <c r="D34" s="20"/>
      <c r="E34" s="20">
        <v>3845</v>
      </c>
      <c r="F34" s="20"/>
      <c r="G34" s="20">
        <v>22788</v>
      </c>
      <c r="H34" s="20">
        <v>18622</v>
      </c>
      <c r="I34" s="20">
        <v>3357</v>
      </c>
      <c r="J34" s="20">
        <v>70279</v>
      </c>
      <c r="K34" s="15">
        <v>66922</v>
      </c>
    </row>
    <row r="35" spans="1:11" ht="15.75" thickBot="1" x14ac:dyDescent="0.3">
      <c r="A35" s="12" t="s">
        <v>1213</v>
      </c>
      <c r="B35" s="13">
        <v>848</v>
      </c>
      <c r="C35" s="16">
        <v>21667</v>
      </c>
      <c r="D35" s="16"/>
      <c r="E35" s="16">
        <v>3845</v>
      </c>
      <c r="F35" s="16"/>
      <c r="G35" s="16">
        <v>28748</v>
      </c>
      <c r="H35" s="16">
        <v>18622</v>
      </c>
      <c r="I35" s="16">
        <v>3357</v>
      </c>
      <c r="J35" s="16">
        <v>76239</v>
      </c>
      <c r="K35" s="15">
        <v>72882</v>
      </c>
    </row>
    <row r="36" spans="1:11" ht="15.75" thickBot="1" x14ac:dyDescent="0.3">
      <c r="A36" s="17" t="s">
        <v>1205</v>
      </c>
      <c r="B36" s="18">
        <v>850</v>
      </c>
      <c r="C36" s="20">
        <v>1497</v>
      </c>
      <c r="D36" s="20"/>
      <c r="E36" s="18">
        <v>0</v>
      </c>
      <c r="F36" s="18"/>
      <c r="G36" s="20">
        <v>22788</v>
      </c>
      <c r="H36" s="20">
        <v>21072</v>
      </c>
      <c r="I36" s="20">
        <v>3357</v>
      </c>
      <c r="J36" s="20">
        <v>48714</v>
      </c>
      <c r="K36" s="15">
        <v>45357</v>
      </c>
    </row>
    <row r="37" spans="1:11" ht="15.75" thickBot="1" x14ac:dyDescent="0.3">
      <c r="A37" s="12" t="s">
        <v>1206</v>
      </c>
      <c r="B37" s="13">
        <v>852</v>
      </c>
      <c r="C37" s="16">
        <v>17176</v>
      </c>
      <c r="D37" s="16"/>
      <c r="E37" s="16">
        <v>7690</v>
      </c>
      <c r="F37" s="16"/>
      <c r="G37" s="16">
        <v>35682</v>
      </c>
      <c r="H37" s="34">
        <v>23523</v>
      </c>
      <c r="I37" s="21">
        <v>3357</v>
      </c>
      <c r="J37" s="16">
        <v>87428</v>
      </c>
      <c r="K37" s="15">
        <v>84071</v>
      </c>
    </row>
    <row r="38" spans="1:11" ht="15.75" thickBot="1" x14ac:dyDescent="0.3">
      <c r="A38" s="17" t="s">
        <v>1207</v>
      </c>
      <c r="B38" s="18">
        <v>854</v>
      </c>
      <c r="C38" s="20">
        <v>26894</v>
      </c>
      <c r="D38" s="20"/>
      <c r="E38" s="20">
        <v>14099</v>
      </c>
      <c r="F38" s="20"/>
      <c r="G38" s="20">
        <v>35682</v>
      </c>
      <c r="H38" s="20">
        <v>23523</v>
      </c>
      <c r="I38" s="20">
        <v>3357</v>
      </c>
      <c r="J38" s="20">
        <v>103555</v>
      </c>
      <c r="K38" s="15">
        <v>100198</v>
      </c>
    </row>
    <row r="39" spans="1:11" ht="15.75" thickBot="1" x14ac:dyDescent="0.3">
      <c r="A39" s="12" t="s">
        <v>1208</v>
      </c>
      <c r="B39" s="13">
        <v>856</v>
      </c>
      <c r="C39" s="16">
        <v>8220</v>
      </c>
      <c r="D39" s="16"/>
      <c r="E39" s="13">
        <v>0</v>
      </c>
      <c r="F39" s="13"/>
      <c r="G39" s="16">
        <v>35682</v>
      </c>
      <c r="H39" s="16">
        <v>18622</v>
      </c>
      <c r="I39" s="16">
        <v>3357</v>
      </c>
      <c r="J39" s="16">
        <v>65881</v>
      </c>
      <c r="K39" s="15">
        <v>62524</v>
      </c>
    </row>
    <row r="40" spans="1:11" ht="15.75" thickBot="1" x14ac:dyDescent="0.3">
      <c r="A40" s="12" t="s">
        <v>1214</v>
      </c>
      <c r="B40" s="13">
        <v>750</v>
      </c>
      <c r="C40" s="16">
        <v>1497</v>
      </c>
      <c r="D40" s="16"/>
      <c r="E40" s="16">
        <v>3845</v>
      </c>
      <c r="F40" s="16"/>
      <c r="G40" s="16">
        <v>5959</v>
      </c>
      <c r="H40" s="13">
        <v>0</v>
      </c>
      <c r="I40" s="16">
        <v>3357</v>
      </c>
      <c r="J40" s="16">
        <v>14658</v>
      </c>
      <c r="K40" s="15">
        <v>11301</v>
      </c>
    </row>
    <row r="41" spans="1:11" ht="15.75" thickBot="1" x14ac:dyDescent="0.3">
      <c r="A41" s="12" t="s">
        <v>1215</v>
      </c>
      <c r="B41" s="13">
        <v>751</v>
      </c>
      <c r="C41" s="16">
        <v>8220</v>
      </c>
      <c r="D41" s="16"/>
      <c r="E41" s="16">
        <v>7690</v>
      </c>
      <c r="F41" s="16"/>
      <c r="G41" s="16">
        <v>1987</v>
      </c>
      <c r="H41" s="13">
        <v>0</v>
      </c>
      <c r="I41" s="16">
        <v>3357</v>
      </c>
      <c r="J41" s="16">
        <v>21254</v>
      </c>
      <c r="K41" s="15">
        <v>17897</v>
      </c>
    </row>
    <row r="42" spans="1:11" ht="15.75" thickBot="1" x14ac:dyDescent="0.3">
      <c r="A42" s="12" t="s">
        <v>1216</v>
      </c>
      <c r="B42" s="13">
        <v>752</v>
      </c>
      <c r="C42" s="16">
        <v>12711</v>
      </c>
      <c r="D42" s="16"/>
      <c r="E42" s="16">
        <v>3845</v>
      </c>
      <c r="F42" s="16"/>
      <c r="G42" s="16">
        <v>5959</v>
      </c>
      <c r="H42" s="13">
        <v>0</v>
      </c>
      <c r="I42" s="16">
        <v>3357</v>
      </c>
      <c r="J42" s="16">
        <v>25872</v>
      </c>
      <c r="K42" s="15">
        <v>22515</v>
      </c>
    </row>
    <row r="43" spans="1:11" ht="15.75" thickBot="1" x14ac:dyDescent="0.3">
      <c r="A43" s="12" t="s">
        <v>1217</v>
      </c>
      <c r="B43" s="13">
        <v>753</v>
      </c>
      <c r="C43" s="16">
        <v>12711</v>
      </c>
      <c r="D43" s="16"/>
      <c r="E43" s="16">
        <v>7690</v>
      </c>
      <c r="F43" s="16"/>
      <c r="G43" s="16">
        <v>10907</v>
      </c>
      <c r="H43" s="13">
        <v>0</v>
      </c>
      <c r="I43" s="16">
        <v>3357</v>
      </c>
      <c r="J43" s="16">
        <v>34665</v>
      </c>
      <c r="K43" s="15">
        <v>31308</v>
      </c>
    </row>
    <row r="44" spans="1:11" ht="15.75" thickBot="1" x14ac:dyDescent="0.3">
      <c r="A44" s="12" t="s">
        <v>1218</v>
      </c>
      <c r="B44" s="13">
        <v>754</v>
      </c>
      <c r="C44" s="16">
        <v>12711</v>
      </c>
      <c r="D44" s="16"/>
      <c r="E44" s="16">
        <v>14099</v>
      </c>
      <c r="F44" s="16"/>
      <c r="G44" s="16">
        <v>16866</v>
      </c>
      <c r="H44" s="13">
        <v>0</v>
      </c>
      <c r="I44" s="16">
        <v>3357</v>
      </c>
      <c r="J44" s="16">
        <v>47033</v>
      </c>
      <c r="K44" s="15">
        <v>43676</v>
      </c>
    </row>
    <row r="45" spans="1:11" ht="15.75" thickBot="1" x14ac:dyDescent="0.3">
      <c r="A45" s="12" t="s">
        <v>1219</v>
      </c>
      <c r="B45" s="13">
        <v>755</v>
      </c>
      <c r="C45" s="16">
        <v>12711</v>
      </c>
      <c r="D45" s="16"/>
      <c r="E45" s="16">
        <v>14099</v>
      </c>
      <c r="F45" s="16"/>
      <c r="G45" s="16">
        <v>16866</v>
      </c>
      <c r="H45" s="13">
        <v>0</v>
      </c>
      <c r="I45" s="16">
        <v>3357</v>
      </c>
      <c r="J45" s="16">
        <v>47033</v>
      </c>
      <c r="K45" s="15">
        <v>43676</v>
      </c>
    </row>
    <row r="46" spans="1:11" ht="15.75" thickBot="1" x14ac:dyDescent="0.3">
      <c r="A46" s="12" t="s">
        <v>1220</v>
      </c>
      <c r="B46" s="13">
        <v>756</v>
      </c>
      <c r="C46" s="16">
        <v>12711</v>
      </c>
      <c r="D46" s="16"/>
      <c r="E46" s="16">
        <v>14099</v>
      </c>
      <c r="F46" s="16"/>
      <c r="G46" s="16">
        <v>28748</v>
      </c>
      <c r="H46" s="13">
        <v>0</v>
      </c>
      <c r="I46" s="16">
        <v>3357</v>
      </c>
      <c r="J46" s="16">
        <v>58915</v>
      </c>
      <c r="K46" s="15">
        <v>55558</v>
      </c>
    </row>
    <row r="47" spans="1:11" ht="15.75" thickBot="1" x14ac:dyDescent="0.3">
      <c r="A47" s="12" t="s">
        <v>1221</v>
      </c>
      <c r="B47" s="13">
        <v>757</v>
      </c>
      <c r="C47" s="16">
        <v>17176</v>
      </c>
      <c r="D47" s="16"/>
      <c r="E47" s="16">
        <v>14099</v>
      </c>
      <c r="F47" s="16"/>
      <c r="G47" s="16">
        <v>35682</v>
      </c>
      <c r="H47" s="13">
        <v>0</v>
      </c>
      <c r="I47" s="16">
        <v>3357</v>
      </c>
      <c r="J47" s="16">
        <v>70314</v>
      </c>
      <c r="K47" s="15">
        <v>66957</v>
      </c>
    </row>
    <row r="48" spans="1:11" ht="15.75" thickBot="1" x14ac:dyDescent="0.3">
      <c r="A48" s="12" t="s">
        <v>1262</v>
      </c>
      <c r="B48" s="13">
        <v>191</v>
      </c>
      <c r="C48" s="16">
        <v>17176</v>
      </c>
      <c r="D48" s="16"/>
      <c r="E48" s="16">
        <v>7690</v>
      </c>
      <c r="F48" s="16"/>
      <c r="G48" s="16">
        <v>16866</v>
      </c>
      <c r="H48" s="13">
        <v>0</v>
      </c>
      <c r="I48" s="16">
        <v>3357</v>
      </c>
      <c r="J48" s="16">
        <v>45089</v>
      </c>
      <c r="K48" s="15">
        <v>41732</v>
      </c>
    </row>
    <row r="49" spans="1:11" ht="15.75" thickBot="1" x14ac:dyDescent="0.3">
      <c r="A49" s="12" t="s">
        <v>1223</v>
      </c>
      <c r="B49" s="13">
        <v>759</v>
      </c>
      <c r="C49" s="16">
        <v>26894</v>
      </c>
      <c r="D49" s="16"/>
      <c r="E49" s="16">
        <v>29480</v>
      </c>
      <c r="F49" s="16"/>
      <c r="G49" s="16">
        <v>16866</v>
      </c>
      <c r="H49" s="13">
        <v>0</v>
      </c>
      <c r="I49" s="16">
        <v>3357</v>
      </c>
      <c r="J49" s="16">
        <v>76597</v>
      </c>
      <c r="K49" s="15">
        <v>73240</v>
      </c>
    </row>
    <row r="50" spans="1:11" x14ac:dyDescent="0.25">
      <c r="H50"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50</vt:i4>
      </vt:variant>
    </vt:vector>
  </HeadingPairs>
  <TitlesOfParts>
    <vt:vector size="81"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Ruimte behandeling basis MPT</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Lijst4</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HaarhuisM</cp:lastModifiedBy>
  <cp:lastPrinted>2016-12-14T19:38:53Z</cp:lastPrinted>
  <dcterms:created xsi:type="dcterms:W3CDTF">2015-04-08T07:31:11Z</dcterms:created>
  <dcterms:modified xsi:type="dcterms:W3CDTF">2018-12-13T10:44:10Z</dcterms:modified>
</cp:coreProperties>
</file>